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tabRatio="569" activeTab="0"/>
  </bookViews>
  <sheets>
    <sheet name="Anleitung" sheetId="1" r:id="rId1"/>
    <sheet name="Daten" sheetId="2" r:id="rId2"/>
    <sheet name="OFM-Transfer" sheetId="3" r:id="rId3"/>
    <sheet name="Optionen" sheetId="4" r:id="rId4"/>
    <sheet name="-----------------------" sheetId="5" r:id="rId5"/>
    <sheet name="Anleitung Taktik-Check" sheetId="6" r:id="rId6"/>
    <sheet name="Taktik-Check" sheetId="7" r:id="rId7"/>
    <sheet name="Transferwert" sheetId="8" state="hidden" r:id="rId8"/>
  </sheets>
  <externalReferences>
    <externalReference r:id="rId11"/>
  </externalReferences>
  <definedNames>
    <definedName name="Aufwertungsgrenzen">'Optionen'!$B$25:$D$47</definedName>
    <definedName name="DeltaEP">#REF!</definedName>
    <definedName name="DeltaTP">#REF!</definedName>
    <definedName name="Einsatz">#REF!</definedName>
    <definedName name="EP_TU">#REF!</definedName>
    <definedName name="Excel_BuiltIn__FilterDatabase_1">'OFM-Transfer'!$B$8:$V$42</definedName>
    <definedName name="Friendly_12">#REF!</definedName>
    <definedName name="Gehälter">#REF!</definedName>
    <definedName name="Gehaltsstruktur">'Optionen'!$F$25:$G$49</definedName>
    <definedName name="Ligastärke">#REF!</definedName>
    <definedName name="Mannschaftsteil">'Optionen'!$I$26:$J$39</definedName>
    <definedName name="Marktwert">#REF!</definedName>
    <definedName name="Offset_TP">'OFM-Transfer'!$X$6</definedName>
    <definedName name="Offsets">'Transferwert'!$G$24:$H$37</definedName>
    <definedName name="Optionen">'Optionen'!$C$5:$J$9</definedName>
    <definedName name="Pokal_12">#REF!</definedName>
    <definedName name="Positionsfaktor">#REF!</definedName>
    <definedName name="Saison">#REF!</definedName>
    <definedName name="Spieltag">'OFM-Transfer'!$Y$4</definedName>
    <definedName name="Top">'OFM-Transfer'!$Z$9:$Z$38</definedName>
    <definedName name="TP_TL">#REF!</definedName>
  </definedNames>
  <calcPr fullCalcOnLoad="1"/>
</workbook>
</file>

<file path=xl/comments3.xml><?xml version="1.0" encoding="utf-8"?>
<comments xmlns="http://schemas.openxmlformats.org/spreadsheetml/2006/main">
  <authors>
    <author/>
    <author>Weiss</author>
  </authors>
  <commentList>
    <comment ref="M4" authorId="0">
      <text>
        <r>
          <rPr>
            <sz val="10"/>
            <color indexed="8"/>
            <rFont val="Tahoma"/>
            <family val="2"/>
          </rPr>
          <t xml:space="preserve">heute falls die Zelle leergelassen wird
</t>
        </r>
      </text>
    </comment>
    <comment ref="O4" authorId="0">
      <text>
        <r>
          <rPr>
            <sz val="10"/>
            <color indexed="8"/>
            <rFont val="Tahoma"/>
            <family val="2"/>
          </rPr>
          <t>Der Spieler wird in dieser Saison an diesen Spielen teilnehmen.</t>
        </r>
      </text>
    </comment>
    <comment ref="P4" authorId="0">
      <text>
        <r>
          <rPr>
            <sz val="10"/>
            <color indexed="8"/>
            <rFont val="Tahoma"/>
            <family val="2"/>
          </rPr>
          <t>Mindeststärke nächste Saison</t>
        </r>
      </text>
    </comment>
    <comment ref="Q4" authorId="0">
      <text>
        <r>
          <rPr>
            <sz val="10"/>
            <color indexed="8"/>
            <rFont val="Tahoma"/>
            <family val="2"/>
          </rPr>
          <t>Anzahl an Erfahrungspunkten, die der Spieler diese Saison noch durch Turniere sammeln wird.</t>
        </r>
      </text>
    </comment>
    <comment ref="U4" authorId="0">
      <text>
        <r>
          <rPr>
            <sz val="10"/>
            <color indexed="8"/>
            <rFont val="Tahoma"/>
            <family val="2"/>
          </rPr>
          <t>Anzahl an Trainingspunkten, die der Spieler diese Saison noch durch Trainingslager sammeln wird.</t>
        </r>
      </text>
    </comment>
    <comment ref="O8" authorId="0">
      <text>
        <r>
          <rPr>
            <sz val="10"/>
            <color indexed="8"/>
            <rFont val="Tahoma"/>
            <family val="2"/>
          </rPr>
          <t>Wenn der Spieler entsprechend der unter "Einsatz" ausgewählten Option eingesetzt wird unter zusätzlicher Berücksichtigung der EP und TP aus Turnieren und Trainingslager.</t>
        </r>
      </text>
    </comment>
    <comment ref="Q8" authorId="0">
      <text>
        <r>
          <rPr>
            <sz val="10"/>
            <color indexed="8"/>
            <rFont val="Tahoma"/>
            <family val="2"/>
          </rPr>
          <t>… wenn der Spieler am Anfang des nächsten Jahres verkauft wird.
Die Gehaltskosten werden mit berücksichtigt.</t>
        </r>
      </text>
    </comment>
    <comment ref="AN8" authorId="0">
      <text>
        <r>
          <rPr>
            <sz val="10"/>
            <color indexed="8"/>
            <rFont val="Tahoma"/>
            <family val="2"/>
          </rPr>
          <t>Diese Spalte ist erst nach dem Sortieren gültig!</t>
        </r>
      </text>
    </comment>
    <comment ref="AQ8" authorId="0">
      <text>
        <r>
          <rPr>
            <sz val="10"/>
            <color indexed="8"/>
            <rFont val="Tahoma"/>
            <family val="2"/>
          </rPr>
          <t>Wenn der Spieler entsprechend der unter "Einsatz" ausgewählten Option eingesetzt wird unter zusätzlicher Berücksichtigung der EP und TP aus Turnieren und Trainingslager.</t>
        </r>
      </text>
    </comment>
    <comment ref="AS8" authorId="0">
      <text>
        <r>
          <rPr>
            <sz val="10"/>
            <color indexed="8"/>
            <rFont val="Tahoma"/>
            <family val="2"/>
          </rPr>
          <t>… wenn der Spieler am Anfang des nächsten Jahres verkauft wird.
Die Gehaltskosten werden mit berücksichtigt.</t>
        </r>
      </text>
    </comment>
    <comment ref="AW8" authorId="0">
      <text>
        <r>
          <rPr>
            <sz val="10"/>
            <color indexed="8"/>
            <rFont val="Tahoma"/>
            <family val="2"/>
          </rPr>
          <t>Diese Spalte ist erst nach dem Sortieren gültig!</t>
        </r>
      </text>
    </comment>
    <comment ref="V8" authorId="1">
      <text>
        <r>
          <rPr>
            <b/>
            <sz val="10"/>
            <rFont val="Tahoma"/>
            <family val="0"/>
          </rPr>
          <t>Weiss:</t>
        </r>
        <r>
          <rPr>
            <sz val="10"/>
            <rFont val="Tahoma"/>
            <family val="0"/>
          </rPr>
          <t xml:space="preserve">
Verkaufspreis/Einkaufspreis
Gehaltskosten werden nicht mit berücksichtigt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7" authorId="0">
      <text>
        <r>
          <rPr>
            <sz val="10"/>
            <color indexed="8"/>
            <rFont val="Tahoma"/>
            <family val="2"/>
          </rPr>
          <t>Wenn der Spieler sowohl in der Liga als auch in Friendlies eingesetzt wird</t>
        </r>
      </text>
    </comment>
    <comment ref="B8" authorId="0">
      <text>
        <r>
          <rPr>
            <sz val="10"/>
            <color indexed="8"/>
            <rFont val="Tahoma"/>
            <family val="2"/>
          </rPr>
          <t>Wenn der Spieler entweder nur in der Liga oder nur im  Friendly eingesetzt wird</t>
        </r>
      </text>
    </comment>
    <comment ref="B9" authorId="0">
      <text>
        <r>
          <rPr>
            <sz val="10"/>
            <color indexed="8"/>
            <rFont val="Tahoma"/>
            <family val="2"/>
          </rPr>
          <t xml:space="preserve">Wenn der Spieler weder in der Liga noch in Friendlies eingesetzt wird </t>
        </r>
      </text>
    </comment>
    <comment ref="B18" authorId="0">
      <text>
        <r>
          <rPr>
            <sz val="10"/>
            <color indexed="8"/>
            <rFont val="Tahoma"/>
            <family val="2"/>
          </rPr>
          <t>Wenn der Spieler sowohl in der Liga als auch in Friendlies eingesetzt wird</t>
        </r>
      </text>
    </comment>
    <comment ref="B19" authorId="0">
      <text>
        <r>
          <rPr>
            <sz val="10"/>
            <color indexed="8"/>
            <rFont val="Tahoma"/>
            <family val="2"/>
          </rPr>
          <t>Wenn der Spieler entweder nur in der Liga oder nur im  Friendly eingesetzt wird</t>
        </r>
      </text>
    </comment>
    <comment ref="B20" authorId="0">
      <text>
        <r>
          <rPr>
            <sz val="10"/>
            <color indexed="8"/>
            <rFont val="Tahoma"/>
            <family val="2"/>
          </rPr>
          <t xml:space="preserve">Wenn der Spieler weder in der Liga noch in Friendlies eingesetzt wird </t>
        </r>
      </text>
    </comment>
  </commentList>
</comments>
</file>

<file path=xl/sharedStrings.xml><?xml version="1.0" encoding="utf-8"?>
<sst xmlns="http://schemas.openxmlformats.org/spreadsheetml/2006/main" count="237" uniqueCount="132">
  <si>
    <t xml:space="preserve">Im Blatt "OFM-Transfer" findet sich nun die bewertete Liste. </t>
  </si>
  <si>
    <t>In der Spalte "fairer Preis" wird der aktuelle faire Preis angezeigt. Dieser berechnet sich aus dem Preis des Spielers zum Anfang dieses Jahres und Anfang nächsten Jahres,</t>
  </si>
  <si>
    <t xml:space="preserve">je nachdem, wie weit die Saison fortgeschritten ist, sowie aus dem Preis des Spielers bei Erreichen der aktuellen Stärke sowie dem Erreichen der nächsten Stärke, je nachdem, </t>
  </si>
  <si>
    <t xml:space="preserve">wie hoch die Stärke des Spieler dazwischen ist. </t>
  </si>
  <si>
    <t xml:space="preserve">Der faire Preis bezieht sich auf den Spieltag, der im Eingabefeld oben angegeben ist. Wird dieses Feld leergelassen, wird der heutige Spieltag verwendet. </t>
  </si>
  <si>
    <t>Sortierung</t>
  </si>
  <si>
    <t>Wenn man ein Schnäppchen machen will und keinen bestimmten Zeithorizont hat, in dem man den daraus entstehenden Gewinn realisieren möchte, macht es am meisten Sinn,</t>
  </si>
  <si>
    <t>einen Spieler zu kaufen, der im Vergleich zum fairen Preis möglichst günstig ist. Um die Liste diesbezüglich zu sortieren muss man oben bei "Sortieren nach" die Option "fairer Preis"</t>
  </si>
  <si>
    <t>auswählen. In der obersten Zeile befindet sich nun der Spieler, der am billigsten im Vergleich zum fairen Preis ist.</t>
  </si>
  <si>
    <t>Wenn man den Spieler gleich am Anfang der nächsten Saison gewinnbringend verkaufen möchte, sind meist diejenigen Spieler am besten geeignet, die bis dahin gerade noch</t>
  </si>
  <si>
    <t>auf die nächste Stärkestufe klettern. Dazu die Parameter oben in den Eingabefeldern ausfüllen und bei Bedarf die Optionen im Blatt "Optionen" an das eigene Team anpassen</t>
  </si>
  <si>
    <t>und bei "Sortieren nach" die Option "Gewinn" auswählen. In der obersten Spalte befindet sich nun der Spieler, mit dem man den größten Gewinn erzielen kann, wenn man ihn</t>
  </si>
  <si>
    <t>am Beginn der folgenden Saison verkauft.</t>
  </si>
  <si>
    <t>Viel Spaß und viel Erfolg beim Spielen !!!</t>
  </si>
  <si>
    <t>EP</t>
  </si>
  <si>
    <t>TP</t>
  </si>
  <si>
    <t>Sortiere nach</t>
  </si>
  <si>
    <t>Spieltag</t>
  </si>
  <si>
    <t>Einsatz</t>
  </si>
  <si>
    <t>Stärke*</t>
  </si>
  <si>
    <t>(Turnier)</t>
  </si>
  <si>
    <t>(TL)</t>
  </si>
  <si>
    <t>Gewinn</t>
  </si>
  <si>
    <t>Offset_TP</t>
  </si>
  <si>
    <t>Max. Gewinn</t>
  </si>
  <si>
    <t>Datenformat</t>
  </si>
  <si>
    <t xml:space="preserve">  Transfermarkt</t>
  </si>
  <si>
    <t>Bewertung</t>
  </si>
  <si>
    <t xml:space="preserve">    Ausblick Jahresende</t>
  </si>
  <si>
    <t>Ausblick Jahresende</t>
  </si>
  <si>
    <t>Spieler</t>
  </si>
  <si>
    <t>Position</t>
  </si>
  <si>
    <t>Alter</t>
  </si>
  <si>
    <t>AWP</t>
  </si>
  <si>
    <t>Stärke</t>
  </si>
  <si>
    <t>Preis aktuell</t>
  </si>
  <si>
    <t>fairer Preis</t>
  </si>
  <si>
    <t>Differenz</t>
  </si>
  <si>
    <t>f. Preis
-Gehalt</t>
  </si>
  <si>
    <t>AWP
Jahresende</t>
  </si>
  <si>
    <t>Stärke Jahresende</t>
  </si>
  <si>
    <t xml:space="preserve"> Gewinn</t>
  </si>
  <si>
    <t>Zeile</t>
  </si>
  <si>
    <t>Jahresanfang</t>
  </si>
  <si>
    <t>Nächstes Jahr</t>
  </si>
  <si>
    <t>Top</t>
  </si>
  <si>
    <t>fP-Differenz</t>
  </si>
  <si>
    <t>fP-Differenz sortiert</t>
  </si>
  <si>
    <t>Vorschlag Gebot</t>
  </si>
  <si>
    <t>Gewinn sortiert</t>
  </si>
  <si>
    <t>LE</t>
  </si>
  <si>
    <t>Torwart</t>
  </si>
  <si>
    <t>Verteidigung</t>
  </si>
  <si>
    <t>Mittelfeld</t>
  </si>
  <si>
    <t>Sturm</t>
  </si>
  <si>
    <t>jung (&lt;=26J.)</t>
  </si>
  <si>
    <t>alt (&gt;=27)J.</t>
  </si>
  <si>
    <t xml:space="preserve">Erfahrungspunkte pro Tag (Liga) </t>
  </si>
  <si>
    <t xml:space="preserve">Erfahrungspunkte pro Tag (Friendly) </t>
  </si>
  <si>
    <t>Trainingspunkte pro Tag (Liga&amp;Friendly)</t>
  </si>
  <si>
    <t>Trainingspunkte pro Tag (Liga oder Friendly)</t>
  </si>
  <si>
    <t>Trainingspunkte pro Tag (nur Training)</t>
  </si>
  <si>
    <t>Standardwerte</t>
  </si>
  <si>
    <t>jung (&lt;=26)</t>
  </si>
  <si>
    <t>alt (&gt;=27)</t>
  </si>
  <si>
    <t>Gehalt</t>
  </si>
  <si>
    <t>Offset</t>
  </si>
  <si>
    <t>TW</t>
  </si>
  <si>
    <t>LV</t>
  </si>
  <si>
    <t>LMD</t>
  </si>
  <si>
    <t>RMD</t>
  </si>
  <si>
    <t>RV</t>
  </si>
  <si>
    <t>LIB</t>
  </si>
  <si>
    <t>VS</t>
  </si>
  <si>
    <t>DM</t>
  </si>
  <si>
    <t>LM</t>
  </si>
  <si>
    <t>RM</t>
  </si>
  <si>
    <t>ZM</t>
  </si>
  <si>
    <t>LS</t>
  </si>
  <si>
    <t>MS</t>
  </si>
  <si>
    <t>RS</t>
  </si>
  <si>
    <t>Stärke\Alter</t>
  </si>
  <si>
    <t>Preis</t>
  </si>
  <si>
    <t>kein VS!</t>
  </si>
  <si>
    <t>Im OFM unter Transfer/Transfermarkt eine Suche mit den gewünschten Parametern durchführen.</t>
  </si>
  <si>
    <t xml:space="preserve"> Dabei die maximale Geldsumme angeben, die man investieren will, die gewünschte Altersobergrenze</t>
  </si>
  <si>
    <t xml:space="preserve"> und die gewünschte Minimalstärke. Wichtig: keine Begrenzung relativ zum Marktwert einstellen.</t>
  </si>
  <si>
    <t xml:space="preserve">Wenn es mehr als 30 Treffer gibt (die pro Seite angezeigt werden), dann </t>
  </si>
  <si>
    <t>die Ergebnisliste nach Erfahrung sortieren, indem man auf den Spaltenkopf "Erfahrung" klickt.</t>
  </si>
  <si>
    <t>FERTIG!</t>
  </si>
  <si>
    <t>Liga&amp;Friendly</t>
  </si>
  <si>
    <t>und hier in der Tabellenkalkulation im Blatt "OFM-Transfer" die Schaltfläche "Spieler einfügen vom Transfermarkt" ganz links oben betätigen</t>
  </si>
  <si>
    <t>und gegebenenfall das nächste Dialogfenster ohne weitere Änderungen bestätigen.</t>
  </si>
  <si>
    <t>Im OFM unter Liga/Spielplan die Ligaspiele auswählen und kopieren (Strg-C).</t>
  </si>
  <si>
    <t>Diese Excel-Datei öffnen und im Blatt "Taktik-Check" auf die Schaltfläche "Spiele einfügen" drücken.</t>
  </si>
  <si>
    <t xml:space="preserve">Die Ligaspiele der Saison befinden sich nun in der Tabelle. </t>
  </si>
  <si>
    <t xml:space="preserve">In den blauhinterlegten Feldern die Chancen für Dein Team und die Chancen für den Gegner eintragen.  </t>
  </si>
  <si>
    <t>Die Zahl der Chancen findet man im Spielbericht zu dem jeweiligen Spiel.</t>
  </si>
  <si>
    <t>Gegnerstärke</t>
  </si>
  <si>
    <t>Gegner</t>
  </si>
  <si>
    <t>Stärkedifferenz</t>
  </si>
  <si>
    <t>Tore</t>
  </si>
  <si>
    <t>Gegentore</t>
  </si>
  <si>
    <t>Tordifferenz</t>
  </si>
  <si>
    <t>Chancen</t>
  </si>
  <si>
    <t>Chancen Gegner</t>
  </si>
  <si>
    <t>Chancendifferenz</t>
  </si>
  <si>
    <t>Torquote</t>
  </si>
  <si>
    <t>Gegentorquote</t>
  </si>
  <si>
    <t>Fit Tore</t>
  </si>
  <si>
    <t>Fit Chancen</t>
  </si>
  <si>
    <t>Startzeile</t>
  </si>
  <si>
    <t>Spiele</t>
  </si>
  <si>
    <t>Fit: ax+b</t>
  </si>
  <si>
    <t>Fit (a)</t>
  </si>
  <si>
    <t>Fit (b)</t>
  </si>
  <si>
    <t>Heimmannschaft</t>
  </si>
  <si>
    <t>Auswärtsmannschaft</t>
  </si>
  <si>
    <t xml:space="preserve"> </t>
  </si>
  <si>
    <t>Mannschaftsname</t>
  </si>
  <si>
    <t>Fertig !!!</t>
  </si>
  <si>
    <t>Die Taktik ist besser als die eines Durchschnittsmanagers, wenn man gegen gleichstarke Teams (d.h. Stärkedifferenz=0)</t>
  </si>
  <si>
    <t xml:space="preserve">eine positive Chancendifferenz hat. </t>
  </si>
  <si>
    <t>(Alternative ohne Makros: Mit rechter Maustaste auf Zelle A67 und "Inhalte einfügen" anklicken und dann "Unicode" auswählen)</t>
  </si>
  <si>
    <t>Über der Tabelle befindet sich nun die Bewertung des Teams, der Taktik, der Stürmer und des Torwarts.</t>
  </si>
  <si>
    <t>Unter der Tabelle zeigen Grafiken die Verteilung der Tore und Chancen gegen die unterschiedlichen Gegner.</t>
  </si>
  <si>
    <t>Rendite</t>
  </si>
  <si>
    <t>LG</t>
  </si>
  <si>
    <t>SZ</t>
  </si>
  <si>
    <t>PS</t>
  </si>
  <si>
    <t>1. gültige Zeile</t>
  </si>
  <si>
    <t xml:space="preserve">Die gesamte Seite markieren (Tastenkombination Strg-A) und kopieren (Tastenkombination Strg-C),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</si>
</sst>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[Red]\-#,##0&quot; €&quot;"/>
    <numFmt numFmtId="165" formatCode="#,##0.00\ [$€-407];[Red]\-#,##0.00\ [$€-407]"/>
    <numFmt numFmtId="166" formatCode="0.0"/>
    <numFmt numFmtId="167" formatCode="[Red]#,##0;\-#,##0;&quot;&quot;"/>
    <numFmt numFmtId="168" formatCode="\+#,##0;\-#,##0"/>
    <numFmt numFmtId="169" formatCode="#,##0;\-#,##0;&quot;&quot;"/>
    <numFmt numFmtId="170" formatCode="\+0;\-0;&quot;&quot;"/>
    <numFmt numFmtId="171" formatCode="0;0"/>
    <numFmt numFmtId="172" formatCode="0;0;&quot;&quot;"/>
    <numFmt numFmtId="173" formatCode="#,##0;\-#,###;&quot;&quot;"/>
    <numFmt numFmtId="174" formatCode="#,##0;#,##0;&quot;&quot;"/>
    <numFmt numFmtId="175" formatCode="\+0;\-0"/>
    <numFmt numFmtId="176" formatCode="#,##0;\-#,###"/>
    <numFmt numFmtId="177" formatCode="d/m/yy\ h:mm;@"/>
    <numFmt numFmtId="178" formatCode="#,##0;[Red]\-#,##0;0"/>
    <numFmt numFmtId="179" formatCode="#,##0;\-#,##0"/>
    <numFmt numFmtId="180" formatCode="#,##0.00\ [$€-1];[Red]\-#,##0.00\ [$€-1]"/>
    <numFmt numFmtId="181" formatCode="d/m/yy;@"/>
    <numFmt numFmtId="182" formatCode="\+0;\-0;0"/>
    <numFmt numFmtId="183" formatCode="\+0.0;\-0.0;0.0"/>
    <numFmt numFmtId="184" formatCode="0.000"/>
    <numFmt numFmtId="185" formatCode="[$-407]dddd\,\ d\.\ mmmm\ yyyy"/>
    <numFmt numFmtId="186" formatCode="h:mm;@"/>
    <numFmt numFmtId="187" formatCode="[$-F400]h:mm:ss\ AM/PM"/>
    <numFmt numFmtId="188" formatCode="\+0%;\-0%;0"/>
  </numFmts>
  <fonts count="23">
    <font>
      <sz val="10"/>
      <name val="Arial"/>
      <family val="2"/>
    </font>
    <font>
      <sz val="15"/>
      <name val="Arial"/>
      <family val="2"/>
    </font>
    <font>
      <sz val="15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22"/>
      <name val="Arial"/>
      <family val="2"/>
    </font>
    <font>
      <sz val="10"/>
      <color indexed="8"/>
      <name val="Tahoma"/>
      <family val="2"/>
    </font>
    <font>
      <sz val="10"/>
      <color indexed="2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21"/>
      <name val="Arial"/>
      <family val="2"/>
    </font>
    <font>
      <sz val="10"/>
      <color indexed="23"/>
      <name val="Arial"/>
      <family val="2"/>
    </font>
    <font>
      <sz val="10"/>
      <color indexed="12"/>
      <name val="Arial"/>
      <family val="2"/>
    </font>
    <font>
      <sz val="10"/>
      <color indexed="54"/>
      <name val="Arial"/>
      <family val="2"/>
    </font>
    <font>
      <sz val="10"/>
      <color indexed="38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8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3" borderId="0" xfId="0" applyFill="1" applyAlignment="1" applyProtection="1">
      <alignment horizontal="center" wrapText="1"/>
      <protection locked="0"/>
    </xf>
    <xf numFmtId="0" fontId="0" fillId="3" borderId="0" xfId="0" applyFill="1" applyAlignment="1" applyProtection="1">
      <alignment wrapText="1"/>
      <protection locked="0"/>
    </xf>
    <xf numFmtId="0" fontId="4" fillId="3" borderId="0" xfId="17" applyNumberFormat="1" applyFill="1" applyBorder="1" applyAlignment="1" applyProtection="1">
      <alignment wrapText="1"/>
      <protection locked="0"/>
    </xf>
    <xf numFmtId="0" fontId="0" fillId="3" borderId="0" xfId="0" applyFill="1" applyAlignment="1" applyProtection="1">
      <alignment/>
      <protection locked="0"/>
    </xf>
    <xf numFmtId="0" fontId="5" fillId="3" borderId="0" xfId="0" applyFont="1" applyFill="1" applyAlignment="1" applyProtection="1">
      <alignment horizontal="center" wrapText="1"/>
      <protection locked="0"/>
    </xf>
    <xf numFmtId="0" fontId="0" fillId="3" borderId="0" xfId="0" applyFill="1" applyAlignment="1" applyProtection="1">
      <alignment horizontal="center"/>
      <protection locked="0"/>
    </xf>
    <xf numFmtId="164" fontId="0" fillId="3" borderId="0" xfId="0" applyNumberFormat="1" applyFill="1" applyAlignment="1" applyProtection="1">
      <alignment horizontal="center"/>
      <protection locked="0"/>
    </xf>
    <xf numFmtId="0" fontId="4" fillId="3" borderId="0" xfId="17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hidden="1"/>
    </xf>
    <xf numFmtId="0" fontId="6" fillId="0" borderId="0" xfId="0" applyFont="1" applyAlignment="1">
      <alignment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2" borderId="4" xfId="0" applyFill="1" applyBorder="1" applyAlignment="1">
      <alignment horizontal="center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" fontId="9" fillId="0" borderId="0" xfId="0" applyNumberFormat="1" applyFont="1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4" xfId="0" applyFont="1" applyFill="1" applyBorder="1" applyAlignment="1">
      <alignment/>
    </xf>
    <xf numFmtId="0" fontId="7" fillId="0" borderId="0" xfId="0" applyFont="1" applyFill="1" applyAlignment="1" applyProtection="1">
      <alignment horizontal="center"/>
      <protection hidden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168" fontId="9" fillId="0" borderId="0" xfId="0" applyNumberFormat="1" applyFont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3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0" fontId="3" fillId="2" borderId="11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2" borderId="12" xfId="0" applyFill="1" applyBorder="1" applyAlignment="1">
      <alignment/>
    </xf>
    <xf numFmtId="3" fontId="0" fillId="2" borderId="11" xfId="0" applyNumberFormat="1" applyFill="1" applyBorder="1" applyAlignment="1">
      <alignment horizontal="center"/>
    </xf>
    <xf numFmtId="0" fontId="0" fillId="2" borderId="13" xfId="0" applyFill="1" applyBorder="1" applyAlignment="1">
      <alignment/>
    </xf>
    <xf numFmtId="0" fontId="3" fillId="2" borderId="7" xfId="0" applyFont="1" applyFill="1" applyBorder="1" applyAlignment="1" applyProtection="1">
      <alignment horizontal="center" vertical="top"/>
      <protection/>
    </xf>
    <xf numFmtId="0" fontId="3" fillId="2" borderId="8" xfId="0" applyFont="1" applyFill="1" applyBorder="1" applyAlignment="1" applyProtection="1">
      <alignment horizontal="center" vertical="top"/>
      <protection/>
    </xf>
    <xf numFmtId="0" fontId="3" fillId="2" borderId="9" xfId="0" applyFont="1" applyFill="1" applyBorder="1" applyAlignment="1" applyProtection="1">
      <alignment horizontal="center" vertical="top" wrapText="1"/>
      <protection/>
    </xf>
    <xf numFmtId="0" fontId="3" fillId="2" borderId="8" xfId="0" applyFont="1" applyFill="1" applyBorder="1" applyAlignment="1" applyProtection="1">
      <alignment horizontal="center" vertical="top" wrapText="1"/>
      <protection/>
    </xf>
    <xf numFmtId="0" fontId="3" fillId="2" borderId="7" xfId="0" applyFont="1" applyFill="1" applyBorder="1" applyAlignment="1" applyProtection="1">
      <alignment horizontal="center" vertical="top" wrapText="1"/>
      <protection/>
    </xf>
    <xf numFmtId="0" fontId="3" fillId="2" borderId="11" xfId="0" applyFont="1" applyFill="1" applyBorder="1" applyAlignment="1" applyProtection="1">
      <alignment horizontal="center" vertical="top"/>
      <protection/>
    </xf>
    <xf numFmtId="169" fontId="9" fillId="0" borderId="8" xfId="0" applyNumberFormat="1" applyFont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center" vertical="top"/>
      <protection hidden="1" locked="0"/>
    </xf>
    <xf numFmtId="0" fontId="3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2" borderId="9" xfId="0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>
      <alignment horizontal="center" wrapText="1"/>
    </xf>
    <xf numFmtId="170" fontId="0" fillId="0" borderId="14" xfId="0" applyNumberFormat="1" applyFill="1" applyBorder="1" applyAlignment="1" applyProtection="1">
      <alignment/>
      <protection/>
    </xf>
    <xf numFmtId="171" fontId="0" fillId="0" borderId="15" xfId="0" applyNumberFormat="1" applyBorder="1" applyAlignment="1" applyProtection="1">
      <alignment horizontal="center"/>
      <protection/>
    </xf>
    <xf numFmtId="172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0" fillId="0" borderId="15" xfId="0" applyNumberFormat="1" applyBorder="1" applyAlignment="1" applyProtection="1">
      <alignment horizontal="center"/>
      <protection/>
    </xf>
    <xf numFmtId="166" fontId="0" fillId="0" borderId="15" xfId="0" applyNumberFormat="1" applyBorder="1" applyAlignment="1" applyProtection="1">
      <alignment horizontal="center"/>
      <protection/>
    </xf>
    <xf numFmtId="173" fontId="3" fillId="0" borderId="16" xfId="0" applyNumberFormat="1" applyFont="1" applyBorder="1" applyAlignment="1" applyProtection="1">
      <alignment horizontal="center"/>
      <protection/>
    </xf>
    <xf numFmtId="174" fontId="0" fillId="0" borderId="15" xfId="0" applyNumberFormat="1" applyBorder="1" applyAlignment="1" applyProtection="1">
      <alignment horizontal="center"/>
      <protection/>
    </xf>
    <xf numFmtId="169" fontId="3" fillId="0" borderId="17" xfId="0" applyNumberFormat="1" applyFont="1" applyBorder="1" applyAlignment="1" applyProtection="1">
      <alignment horizontal="center"/>
      <protection/>
    </xf>
    <xf numFmtId="169" fontId="3" fillId="0" borderId="18" xfId="0" applyNumberFormat="1" applyFont="1" applyBorder="1" applyAlignment="1" applyProtection="1">
      <alignment horizontal="center"/>
      <protection/>
    </xf>
    <xf numFmtId="3" fontId="0" fillId="0" borderId="14" xfId="0" applyNumberFormat="1" applyBorder="1" applyAlignment="1" applyProtection="1">
      <alignment horizontal="center"/>
      <protection/>
    </xf>
    <xf numFmtId="167" fontId="0" fillId="0" borderId="15" xfId="0" applyNumberFormat="1" applyFont="1" applyBorder="1" applyAlignment="1" applyProtection="1">
      <alignment horizontal="center"/>
      <protection/>
    </xf>
    <xf numFmtId="1" fontId="0" fillId="0" borderId="19" xfId="0" applyNumberFormat="1" applyBorder="1" applyAlignment="1" applyProtection="1">
      <alignment horizontal="center"/>
      <protection/>
    </xf>
    <xf numFmtId="2" fontId="0" fillId="0" borderId="15" xfId="0" applyNumberFormat="1" applyBorder="1" applyAlignment="1" applyProtection="1">
      <alignment horizontal="center"/>
      <protection/>
    </xf>
    <xf numFmtId="168" fontId="3" fillId="0" borderId="17" xfId="0" applyNumberFormat="1" applyFont="1" applyBorder="1" applyAlignment="1" applyProtection="1">
      <alignment horizontal="center"/>
      <protection/>
    </xf>
    <xf numFmtId="169" fontId="9" fillId="0" borderId="15" xfId="0" applyNumberFormat="1" applyFont="1" applyBorder="1" applyAlignment="1" applyProtection="1">
      <alignment horizontal="center"/>
      <protection locked="0"/>
    </xf>
    <xf numFmtId="3" fontId="9" fillId="0" borderId="17" xfId="0" applyNumberFormat="1" applyFont="1" applyBorder="1" applyAlignment="1" applyProtection="1">
      <alignment horizontal="center"/>
      <protection hidden="1" locked="0"/>
    </xf>
    <xf numFmtId="3" fontId="0" fillId="0" borderId="0" xfId="0" applyNumberFormat="1" applyAlignment="1" applyProtection="1">
      <alignment horizontal="center"/>
      <protection hidden="1"/>
    </xf>
    <xf numFmtId="4" fontId="0" fillId="0" borderId="0" xfId="0" applyNumberFormat="1" applyAlignment="1">
      <alignment horizontal="center"/>
    </xf>
    <xf numFmtId="175" fontId="0" fillId="0" borderId="14" xfId="0" applyNumberFormat="1" applyFill="1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176" fontId="3" fillId="0" borderId="16" xfId="0" applyNumberFormat="1" applyFont="1" applyBorder="1" applyAlignment="1" applyProtection="1">
      <alignment horizontal="center"/>
      <protection/>
    </xf>
    <xf numFmtId="168" fontId="3" fillId="0" borderId="18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 hidden="1" locked="0"/>
    </xf>
    <xf numFmtId="3" fontId="3" fillId="0" borderId="18" xfId="0" applyNumberFormat="1" applyFont="1" applyBorder="1" applyAlignment="1" applyProtection="1">
      <alignment horizontal="center"/>
      <protection/>
    </xf>
    <xf numFmtId="170" fontId="0" fillId="0" borderId="20" xfId="0" applyNumberFormat="1" applyFill="1" applyBorder="1" applyAlignment="1" applyProtection="1">
      <alignment/>
      <protection/>
    </xf>
    <xf numFmtId="171" fontId="0" fillId="0" borderId="19" xfId="0" applyNumberFormat="1" applyBorder="1" applyAlignment="1" applyProtection="1">
      <alignment horizontal="center"/>
      <protection/>
    </xf>
    <xf numFmtId="166" fontId="0" fillId="0" borderId="19" xfId="0" applyNumberFormat="1" applyBorder="1" applyAlignment="1" applyProtection="1">
      <alignment horizontal="center"/>
      <protection/>
    </xf>
    <xf numFmtId="173" fontId="3" fillId="0" borderId="21" xfId="0" applyNumberFormat="1" applyFont="1" applyBorder="1" applyAlignment="1" applyProtection="1">
      <alignment horizontal="center"/>
      <protection/>
    </xf>
    <xf numFmtId="174" fontId="0" fillId="0" borderId="19" xfId="0" applyNumberFormat="1" applyBorder="1" applyAlignment="1" applyProtection="1">
      <alignment horizontal="center"/>
      <protection/>
    </xf>
    <xf numFmtId="169" fontId="3" fillId="0" borderId="15" xfId="0" applyNumberFormat="1" applyFont="1" applyBorder="1" applyAlignment="1" applyProtection="1">
      <alignment horizontal="center"/>
      <protection/>
    </xf>
    <xf numFmtId="169" fontId="3" fillId="0" borderId="16" xfId="0" applyNumberFormat="1" applyFont="1" applyBorder="1" applyAlignment="1" applyProtection="1">
      <alignment horizontal="center"/>
      <protection/>
    </xf>
    <xf numFmtId="3" fontId="0" fillId="0" borderId="20" xfId="0" applyNumberFormat="1" applyBorder="1" applyAlignment="1" applyProtection="1">
      <alignment horizontal="center"/>
      <protection/>
    </xf>
    <xf numFmtId="167" fontId="0" fillId="0" borderId="19" xfId="0" applyNumberFormat="1" applyFont="1" applyBorder="1" applyAlignment="1" applyProtection="1">
      <alignment horizontal="center"/>
      <protection/>
    </xf>
    <xf numFmtId="168" fontId="3" fillId="0" borderId="15" xfId="0" applyNumberFormat="1" applyFont="1" applyBorder="1" applyAlignment="1" applyProtection="1">
      <alignment horizontal="center"/>
      <protection/>
    </xf>
    <xf numFmtId="3" fontId="9" fillId="0" borderId="0" xfId="0" applyNumberFormat="1" applyFont="1" applyBorder="1" applyAlignment="1" applyProtection="1">
      <alignment horizontal="center"/>
      <protection hidden="1" locked="0"/>
    </xf>
    <xf numFmtId="175" fontId="0" fillId="0" borderId="20" xfId="0" applyNumberFormat="1" applyFill="1" applyBorder="1" applyAlignment="1" applyProtection="1">
      <alignment/>
      <protection/>
    </xf>
    <xf numFmtId="176" fontId="3" fillId="0" borderId="21" xfId="0" applyNumberFormat="1" applyFont="1" applyBorder="1" applyAlignment="1" applyProtection="1">
      <alignment horizontal="center"/>
      <protection/>
    </xf>
    <xf numFmtId="168" fontId="3" fillId="0" borderId="16" xfId="0" applyNumberFormat="1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 horizontal="center"/>
      <protection hidden="1" locked="0"/>
    </xf>
    <xf numFmtId="3" fontId="3" fillId="0" borderId="16" xfId="0" applyNumberFormat="1" applyFont="1" applyBorder="1" applyAlignment="1" applyProtection="1">
      <alignment horizontal="center"/>
      <protection/>
    </xf>
    <xf numFmtId="169" fontId="3" fillId="0" borderId="21" xfId="0" applyNumberFormat="1" applyFont="1" applyBorder="1" applyAlignment="1" applyProtection="1">
      <alignment horizontal="center"/>
      <protection/>
    </xf>
    <xf numFmtId="170" fontId="0" fillId="0" borderId="20" xfId="0" applyNumberFormat="1" applyFont="1" applyFill="1" applyBorder="1" applyAlignment="1" applyProtection="1">
      <alignment/>
      <protection/>
    </xf>
    <xf numFmtId="175" fontId="0" fillId="0" borderId="20" xfId="0" applyNumberFormat="1" applyFont="1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 horizontal="center" vertical="top"/>
      <protection locked="0"/>
    </xf>
    <xf numFmtId="170" fontId="0" fillId="0" borderId="22" xfId="0" applyNumberFormat="1" applyFill="1" applyBorder="1" applyAlignment="1" applyProtection="1">
      <alignment/>
      <protection/>
    </xf>
    <xf numFmtId="171" fontId="0" fillId="0" borderId="23" xfId="0" applyNumberFormat="1" applyBorder="1" applyAlignment="1" applyProtection="1">
      <alignment horizontal="center"/>
      <protection/>
    </xf>
    <xf numFmtId="17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/>
    </xf>
    <xf numFmtId="166" fontId="0" fillId="0" borderId="23" xfId="0" applyNumberFormat="1" applyBorder="1" applyAlignment="1" applyProtection="1">
      <alignment horizontal="center"/>
      <protection/>
    </xf>
    <xf numFmtId="176" fontId="3" fillId="0" borderId="24" xfId="0" applyNumberFormat="1" applyFont="1" applyBorder="1" applyAlignment="1" applyProtection="1">
      <alignment horizontal="center"/>
      <protection/>
    </xf>
    <xf numFmtId="174" fontId="0" fillId="0" borderId="23" xfId="0" applyNumberFormat="1" applyBorder="1" applyAlignment="1" applyProtection="1">
      <alignment horizontal="center"/>
      <protection/>
    </xf>
    <xf numFmtId="169" fontId="3" fillId="0" borderId="8" xfId="0" applyNumberFormat="1" applyFont="1" applyBorder="1" applyAlignment="1" applyProtection="1">
      <alignment horizontal="center"/>
      <protection/>
    </xf>
    <xf numFmtId="169" fontId="3" fillId="0" borderId="9" xfId="0" applyNumberFormat="1" applyFont="1" applyBorder="1" applyAlignment="1" applyProtection="1">
      <alignment horizontal="center"/>
      <protection/>
    </xf>
    <xf numFmtId="3" fontId="0" fillId="0" borderId="22" xfId="0" applyNumberFormat="1" applyBorder="1" applyAlignment="1" applyProtection="1">
      <alignment horizontal="center"/>
      <protection/>
    </xf>
    <xf numFmtId="167" fontId="0" fillId="0" borderId="23" xfId="0" applyNumberFormat="1" applyFont="1" applyBorder="1" applyAlignment="1" applyProtection="1">
      <alignment horizontal="center"/>
      <protection/>
    </xf>
    <xf numFmtId="2" fontId="0" fillId="0" borderId="8" xfId="0" applyNumberFormat="1" applyBorder="1" applyAlignment="1" applyProtection="1">
      <alignment horizontal="center"/>
      <protection/>
    </xf>
    <xf numFmtId="168" fontId="3" fillId="0" borderId="23" xfId="0" applyNumberFormat="1" applyFont="1" applyBorder="1" applyAlignment="1" applyProtection="1">
      <alignment horizontal="center"/>
      <protection/>
    </xf>
    <xf numFmtId="0" fontId="9" fillId="0" borderId="8" xfId="0" applyFont="1" applyBorder="1" applyAlignment="1" applyProtection="1">
      <alignment horizontal="center"/>
      <protection hidden="1" locked="0"/>
    </xf>
    <xf numFmtId="3" fontId="0" fillId="0" borderId="8" xfId="0" applyNumberFormat="1" applyBorder="1" applyAlignment="1" applyProtection="1">
      <alignment horizontal="center"/>
      <protection hidden="1"/>
    </xf>
    <xf numFmtId="0" fontId="0" fillId="0" borderId="8" xfId="0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175" fontId="0" fillId="0" borderId="22" xfId="0" applyNumberFormat="1" applyFill="1" applyBorder="1" applyAlignment="1" applyProtection="1">
      <alignment/>
      <protection/>
    </xf>
    <xf numFmtId="168" fontId="3" fillId="0" borderId="24" xfId="0" applyNumberFormat="1" applyFont="1" applyBorder="1" applyAlignment="1" applyProtection="1">
      <alignment horizontal="center"/>
      <protection/>
    </xf>
    <xf numFmtId="3" fontId="3" fillId="0" borderId="9" xfId="0" applyNumberFormat="1" applyFont="1" applyBorder="1" applyAlignment="1" applyProtection="1">
      <alignment horizontal="center"/>
      <protection/>
    </xf>
    <xf numFmtId="0" fontId="0" fillId="0" borderId="0" xfId="0" applyNumberFormat="1" applyFill="1" applyBorder="1" applyAlignment="1">
      <alignment/>
    </xf>
    <xf numFmtId="171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 hidden="1"/>
    </xf>
    <xf numFmtId="3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NumberFormat="1" applyBorder="1" applyAlignment="1">
      <alignment/>
    </xf>
    <xf numFmtId="178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center"/>
      <protection hidden="1"/>
    </xf>
    <xf numFmtId="177" fontId="0" fillId="0" borderId="0" xfId="0" applyNumberFormat="1" applyBorder="1" applyAlignment="1" applyProtection="1">
      <alignment/>
      <protection hidden="1"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3" fillId="2" borderId="4" xfId="0" applyFont="1" applyFill="1" applyBorder="1" applyAlignment="1">
      <alignment horizontal="right"/>
    </xf>
    <xf numFmtId="0" fontId="0" fillId="0" borderId="25" xfId="0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/>
    </xf>
    <xf numFmtId="0" fontId="0" fillId="0" borderId="27" xfId="0" applyFill="1" applyBorder="1" applyAlignment="1" applyProtection="1">
      <alignment horizontal="center"/>
      <protection locked="0"/>
    </xf>
    <xf numFmtId="0" fontId="0" fillId="2" borderId="28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2" borderId="29" xfId="0" applyFill="1" applyBorder="1" applyAlignment="1">
      <alignment/>
    </xf>
    <xf numFmtId="0" fontId="0" fillId="0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0" fillId="0" borderId="25" xfId="0" applyFill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 horizontal="center"/>
      <protection/>
    </xf>
    <xf numFmtId="0" fontId="0" fillId="0" borderId="7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8" xfId="0" applyFill="1" applyBorder="1" applyAlignment="1">
      <alignment/>
    </xf>
    <xf numFmtId="0" fontId="3" fillId="0" borderId="8" xfId="0" applyFont="1" applyBorder="1" applyAlignment="1" applyProtection="1">
      <alignment horizontal="right"/>
      <protection hidden="1"/>
    </xf>
    <xf numFmtId="0" fontId="3" fillId="0" borderId="8" xfId="0" applyFont="1" applyBorder="1" applyAlignment="1" applyProtection="1">
      <alignment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3" fontId="0" fillId="0" borderId="0" xfId="0" applyNumberForma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3" fontId="0" fillId="0" borderId="0" xfId="0" applyNumberFormat="1" applyBorder="1" applyAlignment="1" applyProtection="1">
      <alignment horizontal="right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left"/>
      <protection hidden="1"/>
    </xf>
    <xf numFmtId="179" fontId="0" fillId="0" borderId="0" xfId="0" applyNumberFormat="1" applyBorder="1" applyAlignment="1" applyProtection="1">
      <alignment horizontal="right"/>
      <protection hidden="1"/>
    </xf>
    <xf numFmtId="179" fontId="0" fillId="0" borderId="5" xfId="0" applyNumberFormat="1" applyBorder="1" applyAlignment="1" applyProtection="1">
      <alignment horizontal="right"/>
      <protection hidden="1"/>
    </xf>
    <xf numFmtId="179" fontId="0" fillId="0" borderId="4" xfId="0" applyNumberFormat="1" applyBorder="1" applyAlignment="1" applyProtection="1">
      <alignment horizontal="right"/>
      <protection hidden="1"/>
    </xf>
    <xf numFmtId="0" fontId="0" fillId="0" borderId="4" xfId="0" applyBorder="1" applyAlignment="1" applyProtection="1">
      <alignment/>
      <protection hidden="1"/>
    </xf>
    <xf numFmtId="0" fontId="3" fillId="0" borderId="33" xfId="0" applyFont="1" applyBorder="1" applyAlignment="1" applyProtection="1">
      <alignment horizontal="left"/>
      <protection hidden="1"/>
    </xf>
    <xf numFmtId="179" fontId="0" fillId="0" borderId="8" xfId="0" applyNumberFormat="1" applyBorder="1" applyAlignment="1" applyProtection="1">
      <alignment horizontal="right"/>
      <protection hidden="1"/>
    </xf>
    <xf numFmtId="179" fontId="0" fillId="0" borderId="9" xfId="0" applyNumberFormat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7" xfId="0" applyBorder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locked="0"/>
    </xf>
    <xf numFmtId="0" fontId="3" fillId="2" borderId="34" xfId="0" applyFont="1" applyFill="1" applyBorder="1" applyAlignment="1" applyProtection="1">
      <alignment horizontal="center" vertical="top" wrapText="1"/>
      <protection/>
    </xf>
    <xf numFmtId="1" fontId="0" fillId="0" borderId="35" xfId="0" applyNumberFormat="1" applyBorder="1" applyAlignment="1" applyProtection="1">
      <alignment horizontal="center"/>
      <protection/>
    </xf>
    <xf numFmtId="0" fontId="0" fillId="4" borderId="0" xfId="0" applyFill="1" applyAlignment="1" applyProtection="1">
      <alignment horizontal="center" wrapText="1"/>
      <protection locked="0"/>
    </xf>
    <xf numFmtId="6" fontId="0" fillId="0" borderId="0" xfId="0" applyNumberFormat="1" applyAlignment="1" applyProtection="1">
      <alignment/>
      <protection locked="0"/>
    </xf>
    <xf numFmtId="180" fontId="0" fillId="0" borderId="0" xfId="0" applyNumberFormat="1" applyAlignment="1" applyProtection="1">
      <alignment/>
      <protection locked="0"/>
    </xf>
    <xf numFmtId="49" fontId="4" fillId="3" borderId="0" xfId="17" applyNumberFormat="1" applyFill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36" xfId="0" applyFill="1" applyBorder="1" applyAlignment="1">
      <alignment/>
    </xf>
    <xf numFmtId="166" fontId="0" fillId="3" borderId="37" xfId="0" applyNumberFormat="1" applyFill="1" applyBorder="1" applyAlignment="1">
      <alignment horizontal="center"/>
    </xf>
    <xf numFmtId="0" fontId="0" fillId="3" borderId="37" xfId="0" applyFill="1" applyBorder="1" applyAlignment="1">
      <alignment horizontal="left"/>
    </xf>
    <xf numFmtId="0" fontId="0" fillId="3" borderId="37" xfId="0" applyFill="1" applyBorder="1" applyAlignment="1">
      <alignment horizontal="center"/>
    </xf>
    <xf numFmtId="9" fontId="0" fillId="3" borderId="37" xfId="0" applyNumberFormat="1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/>
    </xf>
    <xf numFmtId="166" fontId="0" fillId="3" borderId="42" xfId="0" applyNumberFormat="1" applyFill="1" applyBorder="1" applyAlignment="1">
      <alignment horizontal="center"/>
    </xf>
    <xf numFmtId="0" fontId="0" fillId="3" borderId="42" xfId="0" applyFill="1" applyBorder="1" applyAlignment="1">
      <alignment horizontal="left"/>
    </xf>
    <xf numFmtId="0" fontId="0" fillId="3" borderId="42" xfId="0" applyFill="1" applyBorder="1" applyAlignment="1">
      <alignment horizontal="center"/>
    </xf>
    <xf numFmtId="9" fontId="0" fillId="3" borderId="42" xfId="0" applyNumberFormat="1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5" xfId="0" applyFont="1" applyBorder="1" applyAlignment="1">
      <alignment horizontal="left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37" xfId="0" applyNumberFormat="1" applyBorder="1" applyAlignment="1">
      <alignment horizontal="left"/>
    </xf>
    <xf numFmtId="182" fontId="0" fillId="0" borderId="37" xfId="0" applyNumberFormat="1" applyBorder="1" applyAlignment="1">
      <alignment horizontal="center"/>
    </xf>
    <xf numFmtId="182" fontId="0" fillId="5" borderId="47" xfId="0" applyNumberFormat="1" applyFont="1" applyFill="1" applyBorder="1" applyAlignment="1">
      <alignment horizontal="center"/>
    </xf>
    <xf numFmtId="0" fontId="0" fillId="6" borderId="47" xfId="0" applyFill="1" applyBorder="1" applyAlignment="1" applyProtection="1">
      <alignment horizontal="center"/>
      <protection locked="0"/>
    </xf>
    <xf numFmtId="9" fontId="0" fillId="0" borderId="37" xfId="18" applyFill="1" applyBorder="1" applyAlignment="1" applyProtection="1">
      <alignment horizontal="center"/>
      <protection/>
    </xf>
    <xf numFmtId="9" fontId="0" fillId="3" borderId="0" xfId="18" applyFill="1" applyBorder="1" applyAlignment="1" applyProtection="1">
      <alignment horizontal="center"/>
      <protection/>
    </xf>
    <xf numFmtId="166" fontId="0" fillId="0" borderId="0" xfId="0" applyNumberFormat="1" applyAlignment="1">
      <alignment/>
    </xf>
    <xf numFmtId="0" fontId="0" fillId="0" borderId="39" xfId="0" applyBorder="1" applyAlignment="1">
      <alignment horizontal="center"/>
    </xf>
    <xf numFmtId="1" fontId="0" fillId="0" borderId="0" xfId="0" applyNumberFormat="1" applyBorder="1" applyAlignment="1">
      <alignment horizontal="left"/>
    </xf>
    <xf numFmtId="182" fontId="0" fillId="0" borderId="0" xfId="0" applyNumberFormat="1" applyBorder="1" applyAlignment="1">
      <alignment horizontal="center"/>
    </xf>
    <xf numFmtId="182" fontId="0" fillId="5" borderId="28" xfId="0" applyNumberFormat="1" applyFont="1" applyFill="1" applyBorder="1" applyAlignment="1">
      <alignment horizontal="center"/>
    </xf>
    <xf numFmtId="0" fontId="0" fillId="6" borderId="28" xfId="0" applyFill="1" applyBorder="1" applyAlignment="1" applyProtection="1">
      <alignment horizontal="center"/>
      <protection locked="0"/>
    </xf>
    <xf numFmtId="9" fontId="0" fillId="0" borderId="0" xfId="18" applyFill="1" applyBorder="1" applyAlignment="1" applyProtection="1">
      <alignment horizontal="center"/>
      <protection/>
    </xf>
    <xf numFmtId="9" fontId="0" fillId="0" borderId="40" xfId="18" applyFill="1" applyBorder="1" applyAlignment="1" applyProtection="1">
      <alignment horizontal="center"/>
      <protection/>
    </xf>
    <xf numFmtId="1" fontId="0" fillId="0" borderId="0" xfId="0" applyNumberFormat="1" applyAlignment="1">
      <alignment horizontal="left"/>
    </xf>
    <xf numFmtId="1" fontId="0" fillId="3" borderId="0" xfId="18" applyNumberFormat="1" applyFill="1" applyBorder="1" applyAlignment="1" applyProtection="1">
      <alignment horizontal="center"/>
      <protection/>
    </xf>
    <xf numFmtId="0" fontId="0" fillId="0" borderId="41" xfId="0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0" fillId="0" borderId="42" xfId="0" applyNumberFormat="1" applyBorder="1" applyAlignment="1">
      <alignment horizontal="left"/>
    </xf>
    <xf numFmtId="182" fontId="0" fillId="0" borderId="42" xfId="0" applyNumberForma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182" fontId="0" fillId="5" borderId="49" xfId="0" applyNumberFormat="1" applyFont="1" applyFill="1" applyBorder="1" applyAlignment="1">
      <alignment horizontal="center"/>
    </xf>
    <xf numFmtId="0" fontId="0" fillId="6" borderId="49" xfId="0" applyFill="1" applyBorder="1" applyAlignment="1" applyProtection="1">
      <alignment horizontal="center"/>
      <protection locked="0"/>
    </xf>
    <xf numFmtId="9" fontId="0" fillId="0" borderId="50" xfId="18" applyFill="1" applyBorder="1" applyAlignment="1" applyProtection="1">
      <alignment horizontal="center"/>
      <protection/>
    </xf>
    <xf numFmtId="9" fontId="0" fillId="0" borderId="43" xfId="18" applyFill="1" applyBorder="1" applyAlignment="1" applyProtection="1">
      <alignment horizontal="center"/>
      <protection/>
    </xf>
    <xf numFmtId="1" fontId="0" fillId="3" borderId="0" xfId="0" applyNumberFormat="1" applyFill="1" applyAlignment="1">
      <alignment horizontal="center"/>
    </xf>
    <xf numFmtId="1" fontId="0" fillId="0" borderId="44" xfId="0" applyNumberFormat="1" applyBorder="1" applyAlignment="1">
      <alignment horizontal="center"/>
    </xf>
    <xf numFmtId="1" fontId="3" fillId="0" borderId="45" xfId="0" applyNumberFormat="1" applyFont="1" applyBorder="1" applyAlignment="1">
      <alignment horizontal="center"/>
    </xf>
    <xf numFmtId="1" fontId="3" fillId="0" borderId="45" xfId="0" applyNumberFormat="1" applyFont="1" applyBorder="1" applyAlignment="1">
      <alignment horizontal="left"/>
    </xf>
    <xf numFmtId="182" fontId="3" fillId="0" borderId="45" xfId="0" applyNumberFormat="1" applyFont="1" applyBorder="1" applyAlignment="1">
      <alignment horizontal="center"/>
    </xf>
    <xf numFmtId="9" fontId="3" fillId="0" borderId="45" xfId="18" applyFont="1" applyFill="1" applyBorder="1" applyAlignment="1" applyProtection="1">
      <alignment horizontal="center"/>
      <protection/>
    </xf>
    <xf numFmtId="9" fontId="3" fillId="0" borderId="46" xfId="18" applyFont="1" applyFill="1" applyBorder="1" applyAlignment="1" applyProtection="1">
      <alignment horizontal="center"/>
      <protection/>
    </xf>
    <xf numFmtId="9" fontId="3" fillId="3" borderId="0" xfId="18" applyFont="1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0" fontId="14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15" fillId="3" borderId="0" xfId="0" applyFont="1" applyFill="1" applyAlignment="1">
      <alignment/>
    </xf>
    <xf numFmtId="0" fontId="3" fillId="3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9" fillId="3" borderId="0" xfId="0" applyFont="1" applyFill="1" applyAlignment="1">
      <alignment horizontal="center" wrapText="1"/>
    </xf>
    <xf numFmtId="0" fontId="0" fillId="3" borderId="8" xfId="0" applyFill="1" applyBorder="1" applyAlignment="1">
      <alignment/>
    </xf>
    <xf numFmtId="0" fontId="0" fillId="3" borderId="8" xfId="0" applyFill="1" applyBorder="1" applyAlignment="1">
      <alignment horizontal="center"/>
    </xf>
    <xf numFmtId="0" fontId="0" fillId="3" borderId="8" xfId="0" applyFill="1" applyBorder="1" applyAlignment="1">
      <alignment horizontal="left"/>
    </xf>
    <xf numFmtId="0" fontId="0" fillId="0" borderId="8" xfId="0" applyBorder="1" applyAlignment="1">
      <alignment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Alignment="1" applyProtection="1">
      <alignment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/>
    </xf>
    <xf numFmtId="183" fontId="0" fillId="0" borderId="0" xfId="0" applyNumberFormat="1" applyAlignment="1">
      <alignment horizontal="left"/>
    </xf>
    <xf numFmtId="182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18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3" fontId="0" fillId="0" borderId="0" xfId="0" applyNumberFormat="1" applyBorder="1" applyAlignment="1" applyProtection="1">
      <alignment horizontal="center"/>
      <protection hidden="1"/>
    </xf>
    <xf numFmtId="181" fontId="0" fillId="0" borderId="0" xfId="0" applyNumberFormat="1" applyFont="1" applyBorder="1" applyAlignment="1">
      <alignment horizontal="center"/>
    </xf>
    <xf numFmtId="186" fontId="0" fillId="0" borderId="0" xfId="0" applyNumberFormat="1" applyAlignment="1">
      <alignment horizontal="center"/>
    </xf>
    <xf numFmtId="1" fontId="0" fillId="0" borderId="0" xfId="0" applyNumberFormat="1" applyBorder="1" applyAlignment="1" applyProtection="1">
      <alignment horizontal="center"/>
      <protection hidden="1"/>
    </xf>
    <xf numFmtId="177" fontId="0" fillId="0" borderId="0" xfId="0" applyNumberFormat="1" applyAlignment="1" applyProtection="1">
      <alignment horizontal="center"/>
      <protection locked="0"/>
    </xf>
    <xf numFmtId="186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88" fontId="3" fillId="0" borderId="18" xfId="0" applyNumberFormat="1" applyFont="1" applyBorder="1" applyAlignment="1" applyProtection="1">
      <alignment horizontal="center"/>
      <protection/>
    </xf>
    <xf numFmtId="188" fontId="3" fillId="0" borderId="16" xfId="0" applyNumberFormat="1" applyFont="1" applyBorder="1" applyAlignment="1" applyProtection="1">
      <alignment horizontal="center"/>
      <protection/>
    </xf>
    <xf numFmtId="188" fontId="3" fillId="0" borderId="9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3" fillId="2" borderId="3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7">
    <dxf>
      <font>
        <b val="0"/>
        <color rgb="FFFF0000"/>
      </font>
      <border/>
    </dxf>
    <dxf>
      <fill>
        <patternFill patternType="solid">
          <fgColor rgb="FFFFCC00"/>
          <bgColor rgb="FF99CC00"/>
        </patternFill>
      </fill>
      <border/>
    </dxf>
    <dxf>
      <font>
        <b val="0"/>
        <color rgb="FF99CC00"/>
      </font>
      <fill>
        <patternFill patternType="solid">
          <fgColor rgb="FFFFCC00"/>
          <bgColor rgb="FF99CC00"/>
        </patternFill>
      </fill>
      <border/>
    </dxf>
    <dxf>
      <font>
        <b val="0"/>
        <color rgb="FFFFFF00"/>
      </font>
      <fill>
        <patternFill patternType="solid">
          <fgColor rgb="FFFFFF00"/>
          <bgColor rgb="FFFFFF00"/>
        </patternFill>
      </fill>
      <border/>
    </dxf>
    <dxf>
      <font>
        <b val="0"/>
        <color rgb="FFFF0000"/>
      </font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FFCC"/>
          <bgColor rgb="FFFFFFFF"/>
        </patternFill>
      </fill>
      <border/>
    </dxf>
    <dxf>
      <font>
        <b val="0"/>
        <color rgb="FF99CC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'Taktik-Check'!$F$7:$F$40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'Taktik-Check'!$R$7:$R$40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'Taktik-Check'!$P$7:$P$8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'Taktik-Check'!$Q$7:$Q$8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28385442"/>
        <c:axId val="54142387"/>
      </c:scatterChart>
      <c:valAx>
        <c:axId val="28385442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Stärkedifferenz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\+0;\-0;0" sourceLinked="0"/>
        <c:majorTickMark val="cross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42387"/>
        <c:crossesAt val="0"/>
        <c:crossBetween val="midCat"/>
        <c:dispUnits/>
        <c:majorUnit val="10"/>
      </c:valAx>
      <c:valAx>
        <c:axId val="54142387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Tordifferenz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5442"/>
        <c:crossesAt val="0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'Taktik-Check'!$F$7:$F$40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'Taktik-Check'!$S$7:$S$40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'Taktik-Check'!$P$11:$P$12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'Taktik-Check'!$Q$11:$Q$12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17519436"/>
        <c:axId val="23457197"/>
      </c:scatterChart>
      <c:valAx>
        <c:axId val="17519436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Stärkedifferenz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\+0;\-0;0" sourceLinked="0"/>
        <c:majorTickMark val="cross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57197"/>
        <c:crosses val="autoZero"/>
        <c:crossBetween val="midCat"/>
        <c:dispUnits/>
        <c:majorUnit val="10"/>
      </c:valAx>
      <c:valAx>
        <c:axId val="23457197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Chancendifferenz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19436"/>
        <c:crossesAt val="0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'Taktik-Check'!$F$7:$F$40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'Taktik-Check'!$T$7:$T$40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axId val="9788182"/>
        <c:axId val="20984775"/>
      </c:scatterChart>
      <c:valAx>
        <c:axId val="9788182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Stärkedifferenz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\+0;\-0;0" sourceLinked="0"/>
        <c:majorTickMark val="cross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84775"/>
        <c:crossesAt val="0"/>
        <c:crossBetween val="midCat"/>
        <c:dispUnits/>
        <c:majorUnit val="10"/>
      </c:valAx>
      <c:valAx>
        <c:axId val="2098477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88182"/>
        <c:crossesAt val="0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'Taktik-Check'!$F$7:$F$40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'Taktik-Check'!$U$7:$U$40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axId val="54645248"/>
        <c:axId val="22045185"/>
      </c:scatterChart>
      <c:valAx>
        <c:axId val="54645248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Stärkedifferenz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\+0;\-0;0" sourceLinked="0"/>
        <c:majorTickMark val="cross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45185"/>
        <c:crosses val="autoZero"/>
        <c:crossBetween val="midCat"/>
        <c:dispUnits/>
        <c:majorUnit val="10"/>
      </c:valAx>
      <c:valAx>
        <c:axId val="2204518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Chancen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45248"/>
        <c:crossesAt val="0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'Taktik-Check'!$F$7:$F$40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'Taktik-Check'!$V$7:$V$40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axId val="64188938"/>
        <c:axId val="40829531"/>
      </c:scatterChart>
      <c:valAx>
        <c:axId val="64188938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Stärkedifferenz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\+0;\-0;0" sourceLinked="0"/>
        <c:majorTickMark val="cross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29531"/>
        <c:crossesAt val="0"/>
        <c:crossBetween val="midCat"/>
        <c:dispUnits/>
        <c:majorUnit val="10"/>
      </c:valAx>
      <c:valAx>
        <c:axId val="4082953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Gegentore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88938"/>
        <c:crossesAt val="0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'Taktik-Check'!$F$7:$F$40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'Taktik-Check'!$W$7:$W$40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axId val="31921460"/>
        <c:axId val="18857685"/>
      </c:scatterChart>
      <c:valAx>
        <c:axId val="31921460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Stärkedifferenz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\+0;\-0;0" sourceLinked="0"/>
        <c:majorTickMark val="cross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57685"/>
        <c:crosses val="autoZero"/>
        <c:crossBetween val="midCat"/>
        <c:dispUnits/>
        <c:majorUnit val="10"/>
      </c:valAx>
      <c:valAx>
        <c:axId val="1885768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Chancen Gegner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21460"/>
        <c:crossesAt val="0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onlinefussballmanager.de/bilder/fahnen3d/elfenbeinkueste.gif" TargetMode="External" /><Relationship Id="rId2" Type="http://schemas.openxmlformats.org/officeDocument/2006/relationships/image" Target="http://onlinefussballmanager.de/bilder/fahnen3d/15_br.gif" TargetMode="External" /><Relationship Id="rId3" Type="http://schemas.openxmlformats.org/officeDocument/2006/relationships/image" Target="http://onlinefussballmanager.de/bilder/fahnen3d/11_ru.gif" TargetMode="External" /><Relationship Id="rId4" Type="http://schemas.openxmlformats.org/officeDocument/2006/relationships/image" Target="http://onlinefussballmanager.de/bilder/fahnen3d/01_de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5857875</xdr:colOff>
      <xdr:row>0</xdr:row>
      <xdr:rowOff>0</xdr:rowOff>
    </xdr:from>
    <xdr:to>
      <xdr:col>3</xdr:col>
      <xdr:colOff>11029950</xdr:colOff>
      <xdr:row>7</xdr:row>
      <xdr:rowOff>209550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0"/>
          <a:ext cx="51720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</xdr:row>
      <xdr:rowOff>0</xdr:rowOff>
    </xdr:from>
    <xdr:to>
      <xdr:col>23</xdr:col>
      <xdr:colOff>104775</xdr:colOff>
      <xdr:row>1</xdr:row>
      <xdr:rowOff>76200</xdr:rowOff>
    </xdr:to>
    <xdr:pic>
      <xdr:nvPicPr>
        <xdr:cNvPr id="1" name="http://onlinefussballmanager.de/bilder/fahnen3d/elfenbeinkuest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411700" y="161925"/>
          <a:ext cx="1047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104775</xdr:colOff>
      <xdr:row>7</xdr:row>
      <xdr:rowOff>76200</xdr:rowOff>
    </xdr:to>
    <xdr:pic>
      <xdr:nvPicPr>
        <xdr:cNvPr id="2" name="http://onlinefussballmanager.de/bilder/fahnen3d/15_b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7411700" y="1133475"/>
          <a:ext cx="1047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104775</xdr:colOff>
      <xdr:row>9</xdr:row>
      <xdr:rowOff>76200</xdr:rowOff>
    </xdr:to>
    <xdr:pic>
      <xdr:nvPicPr>
        <xdr:cNvPr id="3" name="http://onlinefussballmanager.de/bilder/fahnen3d/11_ru.gif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7411700" y="1457325"/>
          <a:ext cx="1047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12</xdr:row>
      <xdr:rowOff>161925</xdr:rowOff>
    </xdr:from>
    <xdr:to>
      <xdr:col>23</xdr:col>
      <xdr:colOff>104775</xdr:colOff>
      <xdr:row>13</xdr:row>
      <xdr:rowOff>76200</xdr:rowOff>
    </xdr:to>
    <xdr:pic>
      <xdr:nvPicPr>
        <xdr:cNvPr id="4" name="http://onlinefussballmanager.de/bilder/fahnen3d/01_de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17411700" y="2105025"/>
          <a:ext cx="1047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0.42175</cdr:x>
      <cdr:y>0.00575</cdr:y>
    </cdr:from>
    <cdr:to>
      <cdr:x>0.94675</cdr:x>
      <cdr:y>0.06675</cdr:y>
    </cdr:to>
    <cdr:sp textlink="'[1]Taktik-Check'!$P$39">
      <cdr:nvSpPr>
        <cdr:cNvPr id="1" name="TextBox 1"/>
        <cdr:cNvSpPr txBox="1">
          <a:spLocks noChangeArrowheads="1"/>
        </cdr:cNvSpPr>
      </cdr:nvSpPr>
      <cdr:spPr>
        <a:xfrm>
          <a:off x="2266950" y="19050"/>
          <a:ext cx="2828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a1bdc82f-4bf5-4fa1-9fd1-c1e73ba57227}" type="TxLink">
            <a:rPr lang="en-US" cap="none" sz="1000" b="0" i="0" u="none" baseline="0">
              <a:latin typeface="Arial"/>
              <a:ea typeface="Arial"/>
              <a:cs typeface="Arial"/>
            </a:rPr>
            <a:t>0,3 Tore pro Stärkedifferenz von 10</a:t>
          </a:fld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0.467</cdr:x>
      <cdr:y>0.0145</cdr:y>
    </cdr:from>
    <cdr:to>
      <cdr:x>0.952</cdr:x>
      <cdr:y>0.06075</cdr:y>
    </cdr:to>
    <cdr:sp textlink="'[1]Taktik-Check'!$P$41">
      <cdr:nvSpPr>
        <cdr:cNvPr id="1" name="TextBox 1"/>
        <cdr:cNvSpPr txBox="1">
          <a:spLocks noChangeArrowheads="1"/>
        </cdr:cNvSpPr>
      </cdr:nvSpPr>
      <cdr:spPr>
        <a:xfrm>
          <a:off x="2819400" y="47625"/>
          <a:ext cx="29337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12b52fd9-9a24-4027-a2e2-cb25d6c29f80}" type="TxLink">
            <a:rPr lang="en-US" cap="none" sz="1000" b="0" i="0" u="none" baseline="0">
              <a:latin typeface="Arial"/>
              <a:ea typeface="Arial"/>
              <a:cs typeface="Arial"/>
            </a:rPr>
            <a:t>1,0 Chancen pro Stärkedifferenz von 10</a:t>
          </a:fld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42</xdr:row>
      <xdr:rowOff>57150</xdr:rowOff>
    </xdr:from>
    <xdr:to>
      <xdr:col>8</xdr:col>
      <xdr:colOff>9525</xdr:colOff>
      <xdr:row>47</xdr:row>
      <xdr:rowOff>295275</xdr:rowOff>
    </xdr:to>
    <xdr:graphicFrame>
      <xdr:nvGraphicFramePr>
        <xdr:cNvPr id="1" name="Chart 1"/>
        <xdr:cNvGraphicFramePr/>
      </xdr:nvGraphicFramePr>
      <xdr:xfrm>
        <a:off x="247650" y="6677025"/>
        <a:ext cx="53911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619125</xdr:colOff>
      <xdr:row>42</xdr:row>
      <xdr:rowOff>104775</xdr:rowOff>
    </xdr:from>
    <xdr:to>
      <xdr:col>14</xdr:col>
      <xdr:colOff>200025</xdr:colOff>
      <xdr:row>47</xdr:row>
      <xdr:rowOff>352425</xdr:rowOff>
    </xdr:to>
    <xdr:graphicFrame>
      <xdr:nvGraphicFramePr>
        <xdr:cNvPr id="2" name="Chart 2"/>
        <xdr:cNvGraphicFramePr/>
      </xdr:nvGraphicFramePr>
      <xdr:xfrm>
        <a:off x="5553075" y="6724650"/>
        <a:ext cx="60483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47</xdr:row>
      <xdr:rowOff>161925</xdr:rowOff>
    </xdr:from>
    <xdr:to>
      <xdr:col>7</xdr:col>
      <xdr:colOff>676275</xdr:colOff>
      <xdr:row>51</xdr:row>
      <xdr:rowOff>561975</xdr:rowOff>
    </xdr:to>
    <xdr:graphicFrame>
      <xdr:nvGraphicFramePr>
        <xdr:cNvPr id="3" name="Chart 3"/>
        <xdr:cNvGraphicFramePr/>
      </xdr:nvGraphicFramePr>
      <xdr:xfrm>
        <a:off x="219075" y="9915525"/>
        <a:ext cx="539115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590550</xdr:colOff>
      <xdr:row>47</xdr:row>
      <xdr:rowOff>209550</xdr:rowOff>
    </xdr:from>
    <xdr:to>
      <xdr:col>14</xdr:col>
      <xdr:colOff>171450</xdr:colOff>
      <xdr:row>51</xdr:row>
      <xdr:rowOff>619125</xdr:rowOff>
    </xdr:to>
    <xdr:graphicFrame>
      <xdr:nvGraphicFramePr>
        <xdr:cNvPr id="4" name="Chart 4"/>
        <xdr:cNvGraphicFramePr/>
      </xdr:nvGraphicFramePr>
      <xdr:xfrm>
        <a:off x="5524500" y="9963150"/>
        <a:ext cx="604837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228600</xdr:colOff>
      <xdr:row>51</xdr:row>
      <xdr:rowOff>504825</xdr:rowOff>
    </xdr:from>
    <xdr:to>
      <xdr:col>7</xdr:col>
      <xdr:colOff>685800</xdr:colOff>
      <xdr:row>56</xdr:row>
      <xdr:rowOff>161925</xdr:rowOff>
    </xdr:to>
    <xdr:graphicFrame>
      <xdr:nvGraphicFramePr>
        <xdr:cNvPr id="5" name="Chart 5"/>
        <xdr:cNvGraphicFramePr/>
      </xdr:nvGraphicFramePr>
      <xdr:xfrm>
        <a:off x="228600" y="13230225"/>
        <a:ext cx="5391150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600075</xdr:colOff>
      <xdr:row>51</xdr:row>
      <xdr:rowOff>552450</xdr:rowOff>
    </xdr:from>
    <xdr:to>
      <xdr:col>14</xdr:col>
      <xdr:colOff>180975</xdr:colOff>
      <xdr:row>56</xdr:row>
      <xdr:rowOff>219075</xdr:rowOff>
    </xdr:to>
    <xdr:graphicFrame>
      <xdr:nvGraphicFramePr>
        <xdr:cNvPr id="6" name="Chart 6"/>
        <xdr:cNvGraphicFramePr/>
      </xdr:nvGraphicFramePr>
      <xdr:xfrm>
        <a:off x="5534025" y="13277850"/>
        <a:ext cx="6048375" cy="3381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Che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"/>
      <sheetName val="Anleitung"/>
      <sheetName val="Taktik-Check"/>
      <sheetName val="TaChec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B2:D30"/>
  <sheetViews>
    <sheetView showGridLines="0" showRowColHeaders="0" tabSelected="1" workbookViewId="0" topLeftCell="A1">
      <selection activeCell="D10" sqref="D10"/>
    </sheetView>
  </sheetViews>
  <sheetFormatPr defaultColWidth="11.421875" defaultRowHeight="12.75"/>
  <cols>
    <col min="1" max="1" width="3.7109375" style="0" customWidth="1"/>
    <col min="2" max="3" width="3.7109375" style="1" customWidth="1"/>
    <col min="4" max="4" width="166.57421875" style="0" customWidth="1"/>
  </cols>
  <sheetData>
    <row r="1" ht="18.75" customHeight="1"/>
    <row r="2" spans="2:4" ht="16.5" customHeight="1">
      <c r="B2" s="2">
        <v>1</v>
      </c>
      <c r="D2" t="s">
        <v>84</v>
      </c>
    </row>
    <row r="3" ht="16.5" customHeight="1">
      <c r="D3" t="s">
        <v>85</v>
      </c>
    </row>
    <row r="4" ht="16.5" customHeight="1">
      <c r="D4" t="s">
        <v>86</v>
      </c>
    </row>
    <row r="5" ht="16.5" customHeight="1"/>
    <row r="6" spans="2:4" ht="16.5" customHeight="1">
      <c r="B6" s="2">
        <v>2</v>
      </c>
      <c r="D6" t="s">
        <v>87</v>
      </c>
    </row>
    <row r="7" ht="16.5" customHeight="1">
      <c r="D7" t="s">
        <v>88</v>
      </c>
    </row>
    <row r="8" ht="21" customHeight="1"/>
    <row r="9" spans="2:4" ht="16.5" customHeight="1">
      <c r="B9" s="2">
        <v>3</v>
      </c>
      <c r="D9" t="s">
        <v>131</v>
      </c>
    </row>
    <row r="10" ht="16.5" customHeight="1">
      <c r="D10" t="s">
        <v>91</v>
      </c>
    </row>
    <row r="11" ht="16.5" customHeight="1">
      <c r="D11" t="s">
        <v>92</v>
      </c>
    </row>
    <row r="12" ht="16.5" customHeight="1">
      <c r="D12" t="s">
        <v>89</v>
      </c>
    </row>
    <row r="13" ht="16.5" customHeight="1"/>
    <row r="14" ht="16.5" customHeight="1">
      <c r="D14" t="s">
        <v>0</v>
      </c>
    </row>
    <row r="15" ht="16.5" customHeight="1">
      <c r="D15" t="s">
        <v>1</v>
      </c>
    </row>
    <row r="16" ht="16.5" customHeight="1">
      <c r="D16" t="s">
        <v>2</v>
      </c>
    </row>
    <row r="17" ht="16.5" customHeight="1">
      <c r="D17" t="s">
        <v>3</v>
      </c>
    </row>
    <row r="18" ht="16.5" customHeight="1">
      <c r="D18" t="s">
        <v>4</v>
      </c>
    </row>
    <row r="19" ht="16.5" customHeight="1"/>
    <row r="20" spans="2:4" ht="16.5" customHeight="1">
      <c r="B20" s="2">
        <v>4</v>
      </c>
      <c r="D20" t="s">
        <v>5</v>
      </c>
    </row>
    <row r="21" ht="16.5" customHeight="1">
      <c r="D21" t="s">
        <v>6</v>
      </c>
    </row>
    <row r="22" ht="16.5" customHeight="1">
      <c r="D22" t="s">
        <v>7</v>
      </c>
    </row>
    <row r="23" ht="16.5" customHeight="1">
      <c r="D23" t="s">
        <v>8</v>
      </c>
    </row>
    <row r="24" ht="16.5" customHeight="1"/>
    <row r="25" ht="16.5" customHeight="1">
      <c r="D25" t="s">
        <v>9</v>
      </c>
    </row>
    <row r="26" ht="16.5" customHeight="1">
      <c r="D26" t="s">
        <v>10</v>
      </c>
    </row>
    <row r="27" ht="16.5" customHeight="1">
      <c r="D27" t="s">
        <v>11</v>
      </c>
    </row>
    <row r="28" ht="16.5" customHeight="1">
      <c r="D28" t="s">
        <v>12</v>
      </c>
    </row>
    <row r="29" ht="16.5" customHeight="1"/>
    <row r="30" ht="16.5" customHeight="1">
      <c r="D30" s="3" t="s">
        <v>13</v>
      </c>
    </row>
  </sheetData>
  <sheetProtection password="C703" sheet="1" objects="1" scenarios="1"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1:U1000"/>
  <sheetViews>
    <sheetView showGridLines="0" workbookViewId="0" topLeftCell="A1">
      <selection activeCell="A1" sqref="A1"/>
    </sheetView>
  </sheetViews>
  <sheetFormatPr defaultColWidth="11.421875" defaultRowHeight="12.75" customHeight="1"/>
  <cols>
    <col min="1" max="3" width="11.57421875" style="4" customWidth="1"/>
    <col min="4" max="4" width="18.140625" style="4" customWidth="1"/>
    <col min="5" max="5" width="11.57421875" style="4" customWidth="1"/>
    <col min="6" max="6" width="11.57421875" style="250" customWidth="1"/>
    <col min="7" max="12" width="11.57421875" style="4" customWidth="1"/>
    <col min="13" max="13" width="11.57421875" style="345" hidden="1" customWidth="1"/>
    <col min="14" max="16384" width="11.57421875" style="4" customWidth="1"/>
  </cols>
  <sheetData>
    <row r="1" spans="1:21" ht="12.75" customHeight="1">
      <c r="A1" s="246"/>
      <c r="B1" s="6"/>
      <c r="C1" s="7"/>
      <c r="D1" s="6"/>
      <c r="E1" s="8"/>
      <c r="F1" s="249"/>
      <c r="G1" s="8"/>
      <c r="H1" s="5"/>
      <c r="I1" s="5"/>
      <c r="J1" s="9"/>
      <c r="K1" s="10"/>
      <c r="L1" s="11"/>
      <c r="M1" s="345">
        <f>ROW()</f>
        <v>1</v>
      </c>
      <c r="N1" s="12"/>
      <c r="O1" s="13"/>
      <c r="P1" s="14"/>
      <c r="Q1" s="15"/>
      <c r="R1" s="15"/>
      <c r="S1" s="15"/>
      <c r="T1" s="15"/>
      <c r="U1" s="15"/>
    </row>
    <row r="2" spans="1:21" ht="12.75" customHeight="1">
      <c r="A2" s="5"/>
      <c r="B2" s="6"/>
      <c r="C2" s="7"/>
      <c r="D2" s="6"/>
      <c r="E2" s="8"/>
      <c r="F2" s="249"/>
      <c r="G2" s="8"/>
      <c r="H2" s="5"/>
      <c r="I2" s="5"/>
      <c r="J2" s="9"/>
      <c r="K2" s="10"/>
      <c r="L2" s="11"/>
      <c r="M2" s="345">
        <f>ROW()</f>
        <v>2</v>
      </c>
      <c r="N2" s="12"/>
      <c r="O2" s="13"/>
      <c r="P2" s="14"/>
      <c r="Q2" s="15"/>
      <c r="R2" s="15"/>
      <c r="S2" s="15"/>
      <c r="T2" s="15"/>
      <c r="U2" s="15"/>
    </row>
    <row r="3" spans="1:21" ht="12.75" customHeight="1">
      <c r="A3" s="5"/>
      <c r="B3" s="6"/>
      <c r="C3" s="7"/>
      <c r="D3" s="6"/>
      <c r="E3" s="8"/>
      <c r="F3" s="249"/>
      <c r="G3" s="8"/>
      <c r="H3" s="5"/>
      <c r="I3" s="5"/>
      <c r="J3" s="9"/>
      <c r="K3" s="10"/>
      <c r="L3" s="11"/>
      <c r="M3" s="345">
        <f>ROW()</f>
        <v>3</v>
      </c>
      <c r="N3" s="12"/>
      <c r="O3" s="13"/>
      <c r="P3" s="14"/>
      <c r="Q3" s="15"/>
      <c r="R3" s="15"/>
      <c r="S3" s="15"/>
      <c r="T3" s="15"/>
      <c r="U3" s="15"/>
    </row>
    <row r="4" spans="1:21" ht="12.75" customHeight="1">
      <c r="A4" s="5"/>
      <c r="B4" s="6"/>
      <c r="C4" s="7"/>
      <c r="D4" s="6"/>
      <c r="E4" s="8"/>
      <c r="F4" s="249"/>
      <c r="G4" s="8"/>
      <c r="H4" s="5"/>
      <c r="I4" s="5"/>
      <c r="J4" s="9"/>
      <c r="K4" s="10"/>
      <c r="L4" s="11"/>
      <c r="M4" s="345">
        <f>ROW()</f>
        <v>4</v>
      </c>
      <c r="N4" s="12"/>
      <c r="O4" s="13"/>
      <c r="P4" s="14"/>
      <c r="Q4" s="15"/>
      <c r="R4" s="15"/>
      <c r="S4" s="15"/>
      <c r="T4" s="15"/>
      <c r="U4" s="15"/>
    </row>
    <row r="5" spans="8:21" ht="12.75" customHeight="1">
      <c r="H5" s="16"/>
      <c r="M5" s="345">
        <f>ROW()</f>
        <v>5</v>
      </c>
      <c r="O5" s="15"/>
      <c r="P5" s="15"/>
      <c r="Q5" s="15"/>
      <c r="R5" s="15"/>
      <c r="S5" s="15"/>
      <c r="T5" s="15"/>
      <c r="U5" s="15"/>
    </row>
    <row r="6" spans="13:21" ht="12.75" customHeight="1">
      <c r="M6" s="345">
        <f>ROW()</f>
        <v>6</v>
      </c>
      <c r="O6" s="15"/>
      <c r="P6" s="15"/>
      <c r="Q6" s="15"/>
      <c r="R6" s="15"/>
      <c r="S6" s="15"/>
      <c r="T6" s="15"/>
      <c r="U6" s="15"/>
    </row>
    <row r="7" spans="13:21" ht="12.75" customHeight="1">
      <c r="M7" s="345">
        <f>ROW()</f>
        <v>7</v>
      </c>
      <c r="O7" s="15"/>
      <c r="P7" s="15"/>
      <c r="Q7" s="15"/>
      <c r="R7" s="15"/>
      <c r="S7" s="15"/>
      <c r="T7" s="15"/>
      <c r="U7" s="15"/>
    </row>
    <row r="8" spans="13:21" ht="12.75" customHeight="1">
      <c r="M8" s="345">
        <f>ROW()</f>
        <v>8</v>
      </c>
      <c r="O8" s="15"/>
      <c r="P8" s="15"/>
      <c r="Q8" s="15"/>
      <c r="R8" s="15"/>
      <c r="S8" s="15"/>
      <c r="T8" s="15"/>
      <c r="U8" s="15"/>
    </row>
    <row r="9" spans="13:21" ht="12.75" customHeight="1">
      <c r="M9" s="345">
        <f>ROW()</f>
        <v>9</v>
      </c>
      <c r="O9" s="15"/>
      <c r="P9" s="15"/>
      <c r="Q9" s="15"/>
      <c r="R9" s="15"/>
      <c r="S9" s="15"/>
      <c r="T9" s="15"/>
      <c r="U9" s="15"/>
    </row>
    <row r="10" spans="13:21" ht="12.75" customHeight="1">
      <c r="M10" s="345">
        <f>ROW()</f>
        <v>10</v>
      </c>
      <c r="O10" s="15"/>
      <c r="P10" s="15"/>
      <c r="Q10" s="15"/>
      <c r="R10" s="15"/>
      <c r="S10" s="15"/>
      <c r="T10" s="15"/>
      <c r="U10" s="15"/>
    </row>
    <row r="11" spans="2:21" ht="12.75" customHeight="1">
      <c r="B11" s="247"/>
      <c r="H11" s="16"/>
      <c r="M11" s="345">
        <f>ROW()</f>
        <v>11</v>
      </c>
      <c r="O11" s="15"/>
      <c r="P11" s="15"/>
      <c r="Q11" s="15"/>
      <c r="R11" s="15"/>
      <c r="S11" s="15"/>
      <c r="T11" s="15"/>
      <c r="U11" s="15"/>
    </row>
    <row r="12" spans="13:21" ht="12.75" customHeight="1">
      <c r="M12" s="345">
        <f>ROW()</f>
        <v>12</v>
      </c>
      <c r="O12" s="15"/>
      <c r="P12" s="15"/>
      <c r="Q12" s="15"/>
      <c r="R12" s="15"/>
      <c r="S12" s="15"/>
      <c r="T12" s="15"/>
      <c r="U12" s="15"/>
    </row>
    <row r="13" spans="13:21" ht="12.75" customHeight="1">
      <c r="M13" s="345">
        <f>ROW()</f>
        <v>13</v>
      </c>
      <c r="O13" s="15"/>
      <c r="P13" s="15"/>
      <c r="Q13" s="15"/>
      <c r="R13" s="15"/>
      <c r="S13" s="15"/>
      <c r="T13" s="15"/>
      <c r="U13" s="15"/>
    </row>
    <row r="14" spans="13:21" ht="12.75" customHeight="1">
      <c r="M14" s="345">
        <f>ROW()</f>
        <v>14</v>
      </c>
      <c r="O14" s="15"/>
      <c r="P14" s="15"/>
      <c r="Q14" s="15"/>
      <c r="R14" s="15"/>
      <c r="S14" s="15"/>
      <c r="T14" s="15"/>
      <c r="U14" s="15"/>
    </row>
    <row r="15" spans="13:21" ht="12.75" customHeight="1">
      <c r="M15" s="345">
        <f>ROW()</f>
        <v>15</v>
      </c>
      <c r="O15" s="15"/>
      <c r="P15" s="15"/>
      <c r="Q15" s="15"/>
      <c r="R15" s="15"/>
      <c r="S15" s="15"/>
      <c r="T15" s="15"/>
      <c r="U15" s="15"/>
    </row>
    <row r="16" spans="13:21" ht="12.75" customHeight="1">
      <c r="M16" s="345">
        <f>ROW()</f>
        <v>16</v>
      </c>
      <c r="O16" s="15"/>
      <c r="P16" s="15"/>
      <c r="Q16" s="15"/>
      <c r="R16" s="15"/>
      <c r="S16" s="15"/>
      <c r="T16" s="15"/>
      <c r="U16" s="15"/>
    </row>
    <row r="17" spans="8:21" ht="12.75" customHeight="1">
      <c r="H17" s="16"/>
      <c r="M17" s="345">
        <f>ROW()</f>
        <v>17</v>
      </c>
      <c r="O17" s="15"/>
      <c r="P17" s="15"/>
      <c r="Q17" s="15"/>
      <c r="R17" s="15"/>
      <c r="S17" s="15"/>
      <c r="T17" s="15"/>
      <c r="U17" s="15"/>
    </row>
    <row r="18" spans="13:21" ht="12.75" customHeight="1">
      <c r="M18" s="345">
        <f>ROW()</f>
        <v>18</v>
      </c>
      <c r="O18" s="15"/>
      <c r="P18" s="15"/>
      <c r="Q18" s="15"/>
      <c r="R18" s="15"/>
      <c r="S18" s="15"/>
      <c r="T18" s="15"/>
      <c r="U18" s="15"/>
    </row>
    <row r="19" ht="12.75" customHeight="1">
      <c r="M19" s="345">
        <f>ROW()</f>
        <v>19</v>
      </c>
    </row>
    <row r="20" ht="12.75" customHeight="1">
      <c r="M20" s="345">
        <f>ROW()</f>
        <v>20</v>
      </c>
    </row>
    <row r="21" ht="12.75" customHeight="1">
      <c r="M21" s="345">
        <f>ROW()</f>
        <v>21</v>
      </c>
    </row>
    <row r="22" ht="12.75" customHeight="1">
      <c r="M22" s="345">
        <f>ROW()</f>
        <v>22</v>
      </c>
    </row>
    <row r="23" spans="8:13" ht="12.75" customHeight="1">
      <c r="H23" s="16"/>
      <c r="M23" s="345">
        <f>ROW()</f>
        <v>23</v>
      </c>
    </row>
    <row r="24" spans="2:13" ht="12.75" customHeight="1">
      <c r="B24" s="247"/>
      <c r="M24" s="345">
        <f>ROW()</f>
        <v>24</v>
      </c>
    </row>
    <row r="25" ht="12.75" customHeight="1">
      <c r="M25" s="345">
        <f>ROW()</f>
        <v>25</v>
      </c>
    </row>
    <row r="26" ht="12.75" customHeight="1">
      <c r="M26" s="345">
        <f>ROW()</f>
        <v>26</v>
      </c>
    </row>
    <row r="27" ht="12.75" customHeight="1">
      <c r="M27" s="345">
        <f>ROW()</f>
        <v>27</v>
      </c>
    </row>
    <row r="28" ht="12.75" customHeight="1">
      <c r="M28" s="345">
        <f>ROW()</f>
        <v>28</v>
      </c>
    </row>
    <row r="29" spans="8:13" ht="12.75" customHeight="1">
      <c r="H29" s="16"/>
      <c r="M29" s="345">
        <f>ROW()</f>
        <v>29</v>
      </c>
    </row>
    <row r="30" ht="12.75" customHeight="1">
      <c r="M30" s="345">
        <f>ROW()</f>
        <v>30</v>
      </c>
    </row>
    <row r="31" ht="12.75" customHeight="1">
      <c r="M31" s="345">
        <f>ROW()</f>
        <v>31</v>
      </c>
    </row>
    <row r="32" ht="12.75" customHeight="1">
      <c r="M32" s="345">
        <f>ROW()</f>
        <v>32</v>
      </c>
    </row>
    <row r="33" ht="12.75" customHeight="1">
      <c r="M33" s="345">
        <f>ROW()</f>
        <v>33</v>
      </c>
    </row>
    <row r="34" ht="12.75" customHeight="1">
      <c r="M34" s="345">
        <f>ROW()</f>
        <v>34</v>
      </c>
    </row>
    <row r="35" spans="8:13" ht="12.75" customHeight="1">
      <c r="H35" s="16"/>
      <c r="M35" s="345">
        <f>ROW()</f>
        <v>35</v>
      </c>
    </row>
    <row r="36" ht="12.75" customHeight="1">
      <c r="M36" s="345">
        <f>ROW()</f>
        <v>36</v>
      </c>
    </row>
    <row r="37" spans="2:13" ht="12.75" customHeight="1">
      <c r="B37" s="248"/>
      <c r="M37" s="345">
        <f>ROW()</f>
        <v>37</v>
      </c>
    </row>
    <row r="38" ht="12.75" customHeight="1">
      <c r="M38" s="345">
        <f>ROW()</f>
        <v>38</v>
      </c>
    </row>
    <row r="39" ht="12.75" customHeight="1">
      <c r="M39" s="345">
        <f>ROW()</f>
        <v>39</v>
      </c>
    </row>
    <row r="40" ht="12.75" customHeight="1">
      <c r="M40" s="345">
        <f>ROW()</f>
        <v>40</v>
      </c>
    </row>
    <row r="41" spans="8:13" ht="12.75" customHeight="1">
      <c r="H41" s="16"/>
      <c r="M41" s="345">
        <f>ROW()</f>
        <v>41</v>
      </c>
    </row>
    <row r="42" ht="12.75" customHeight="1">
      <c r="M42" s="345">
        <f>ROW()</f>
        <v>42</v>
      </c>
    </row>
    <row r="43" ht="12.75" customHeight="1">
      <c r="M43" s="345">
        <f>ROW()</f>
        <v>43</v>
      </c>
    </row>
    <row r="44" ht="12.75" customHeight="1">
      <c r="M44" s="345">
        <f>ROW()</f>
        <v>44</v>
      </c>
    </row>
    <row r="45" ht="12.75" customHeight="1">
      <c r="M45" s="345">
        <f>ROW()</f>
        <v>45</v>
      </c>
    </row>
    <row r="46" ht="12.75" customHeight="1">
      <c r="M46" s="345">
        <f>ROW()</f>
        <v>46</v>
      </c>
    </row>
    <row r="47" ht="12.75" customHeight="1">
      <c r="M47" s="345">
        <f>ROW()</f>
        <v>47</v>
      </c>
    </row>
    <row r="48" ht="12.75" customHeight="1">
      <c r="M48" s="345">
        <f>ROW()</f>
        <v>48</v>
      </c>
    </row>
    <row r="49" ht="12.75" customHeight="1">
      <c r="M49" s="345">
        <f>ROW()</f>
        <v>49</v>
      </c>
    </row>
    <row r="50" spans="2:13" ht="12.75" customHeight="1">
      <c r="B50" s="248"/>
      <c r="M50" s="345">
        <f>ROW()</f>
        <v>50</v>
      </c>
    </row>
    <row r="51" ht="12.75" customHeight="1">
      <c r="M51" s="345">
        <f>ROW()</f>
        <v>51</v>
      </c>
    </row>
    <row r="52" ht="12.75" customHeight="1">
      <c r="M52" s="345">
        <f>ROW()</f>
        <v>52</v>
      </c>
    </row>
    <row r="53" ht="12.75" customHeight="1">
      <c r="M53" s="345">
        <f>ROW()</f>
        <v>53</v>
      </c>
    </row>
    <row r="54" ht="12.75" customHeight="1">
      <c r="M54" s="345">
        <f>ROW()</f>
        <v>54</v>
      </c>
    </row>
    <row r="55" ht="12.75" customHeight="1">
      <c r="M55" s="345">
        <f>ROW()</f>
        <v>55</v>
      </c>
    </row>
    <row r="56" ht="12.75" customHeight="1">
      <c r="M56" s="345">
        <f>ROW()</f>
        <v>56</v>
      </c>
    </row>
    <row r="57" ht="12.75" customHeight="1">
      <c r="M57" s="345">
        <f>ROW()</f>
        <v>57</v>
      </c>
    </row>
    <row r="58" ht="12.75" customHeight="1">
      <c r="M58" s="345">
        <f>ROW()</f>
        <v>58</v>
      </c>
    </row>
    <row r="59" ht="12.75" customHeight="1">
      <c r="M59" s="345">
        <f>ROW()</f>
        <v>59</v>
      </c>
    </row>
    <row r="60" ht="12.75" customHeight="1">
      <c r="M60" s="345">
        <f>ROW()</f>
        <v>60</v>
      </c>
    </row>
    <row r="61" ht="12.75" customHeight="1">
      <c r="M61" s="345">
        <f>ROW()</f>
        <v>61</v>
      </c>
    </row>
    <row r="62" ht="12.75" customHeight="1">
      <c r="M62" s="345">
        <f>ROW()</f>
        <v>62</v>
      </c>
    </row>
    <row r="63" spans="2:13" ht="12.75" customHeight="1">
      <c r="B63" s="248"/>
      <c r="M63" s="345">
        <f>ROW()</f>
        <v>63</v>
      </c>
    </row>
    <row r="64" ht="12.75" customHeight="1">
      <c r="M64" s="345">
        <f>ROW()</f>
        <v>64</v>
      </c>
    </row>
    <row r="65" ht="12.75" customHeight="1">
      <c r="M65" s="345">
        <f>ROW()</f>
        <v>65</v>
      </c>
    </row>
    <row r="66" ht="12.75" customHeight="1">
      <c r="M66" s="345">
        <f>ROW()</f>
        <v>66</v>
      </c>
    </row>
    <row r="67" ht="12.75" customHeight="1">
      <c r="M67" s="345">
        <f>ROW()</f>
        <v>67</v>
      </c>
    </row>
    <row r="68" ht="12.75" customHeight="1">
      <c r="M68" s="345">
        <f>ROW()</f>
        <v>68</v>
      </c>
    </row>
    <row r="69" ht="12.75" customHeight="1">
      <c r="M69" s="345">
        <f>ROW()</f>
        <v>69</v>
      </c>
    </row>
    <row r="70" ht="12.75" customHeight="1">
      <c r="M70" s="345">
        <f>ROW()</f>
        <v>70</v>
      </c>
    </row>
    <row r="71" ht="12.75" customHeight="1">
      <c r="M71" s="345">
        <f>ROW()</f>
        <v>71</v>
      </c>
    </row>
    <row r="72" ht="12.75" customHeight="1">
      <c r="M72" s="345">
        <f>ROW()</f>
        <v>72</v>
      </c>
    </row>
    <row r="73" ht="12.75" customHeight="1">
      <c r="M73" s="345">
        <f>ROW()</f>
        <v>73</v>
      </c>
    </row>
    <row r="74" ht="12.75" customHeight="1">
      <c r="M74" s="345">
        <f>ROW()</f>
        <v>74</v>
      </c>
    </row>
    <row r="75" ht="12.75" customHeight="1">
      <c r="M75" s="345">
        <f>ROW()</f>
        <v>75</v>
      </c>
    </row>
    <row r="76" ht="12.75" customHeight="1">
      <c r="M76" s="345">
        <f>ROW()</f>
        <v>76</v>
      </c>
    </row>
    <row r="77" ht="12.75" customHeight="1">
      <c r="M77" s="345">
        <f>ROW()</f>
        <v>77</v>
      </c>
    </row>
    <row r="78" ht="12.75" customHeight="1">
      <c r="M78" s="345">
        <f>ROW()</f>
        <v>78</v>
      </c>
    </row>
    <row r="79" ht="12.75" customHeight="1">
      <c r="M79" s="345">
        <f>ROW()</f>
        <v>79</v>
      </c>
    </row>
    <row r="80" ht="12.75" customHeight="1">
      <c r="M80" s="345">
        <f>ROW()</f>
        <v>80</v>
      </c>
    </row>
    <row r="81" ht="12.75" customHeight="1">
      <c r="M81" s="345">
        <f>ROW()</f>
        <v>81</v>
      </c>
    </row>
    <row r="82" ht="12.75" customHeight="1">
      <c r="M82" s="345">
        <f>ROW()</f>
        <v>82</v>
      </c>
    </row>
    <row r="83" ht="12.75" customHeight="1">
      <c r="M83" s="345">
        <f>ROW()</f>
        <v>83</v>
      </c>
    </row>
    <row r="84" ht="12.75" customHeight="1">
      <c r="M84" s="345">
        <f>ROW()</f>
        <v>84</v>
      </c>
    </row>
    <row r="85" ht="12.75" customHeight="1">
      <c r="M85" s="345">
        <f>ROW()</f>
        <v>85</v>
      </c>
    </row>
    <row r="86" ht="12.75" customHeight="1">
      <c r="M86" s="345">
        <f>ROW()</f>
        <v>86</v>
      </c>
    </row>
    <row r="87" ht="12.75" customHeight="1">
      <c r="M87" s="345">
        <f>ROW()</f>
        <v>87</v>
      </c>
    </row>
    <row r="88" ht="12.75" customHeight="1">
      <c r="M88" s="345">
        <f>ROW()</f>
        <v>88</v>
      </c>
    </row>
    <row r="89" ht="12.75" customHeight="1">
      <c r="M89" s="345">
        <f>ROW()</f>
        <v>89</v>
      </c>
    </row>
    <row r="90" ht="12.75" customHeight="1">
      <c r="M90" s="345">
        <f>ROW()</f>
        <v>90</v>
      </c>
    </row>
    <row r="91" ht="12.75" customHeight="1">
      <c r="M91" s="345">
        <f>ROW()</f>
        <v>91</v>
      </c>
    </row>
    <row r="92" ht="12.75" customHeight="1">
      <c r="M92" s="345">
        <f>ROW()</f>
        <v>92</v>
      </c>
    </row>
    <row r="93" ht="12.75" customHeight="1">
      <c r="M93" s="345">
        <f>ROW()</f>
        <v>93</v>
      </c>
    </row>
    <row r="94" ht="12.75" customHeight="1">
      <c r="M94" s="345">
        <f>ROW()</f>
        <v>94</v>
      </c>
    </row>
    <row r="95" ht="12.75" customHeight="1">
      <c r="M95" s="345">
        <f>ROW()</f>
        <v>95</v>
      </c>
    </row>
    <row r="96" ht="12.75" customHeight="1">
      <c r="M96" s="345">
        <f>ROW()</f>
        <v>96</v>
      </c>
    </row>
    <row r="97" ht="12.75" customHeight="1">
      <c r="M97" s="345">
        <f>ROW()</f>
        <v>97</v>
      </c>
    </row>
    <row r="98" ht="12.75" customHeight="1">
      <c r="M98" s="345">
        <f>ROW()</f>
        <v>98</v>
      </c>
    </row>
    <row r="99" ht="12.75" customHeight="1">
      <c r="M99" s="345">
        <f>ROW()</f>
        <v>99</v>
      </c>
    </row>
    <row r="100" ht="12.75" customHeight="1">
      <c r="M100" s="345">
        <f>ROW()</f>
        <v>100</v>
      </c>
    </row>
    <row r="101" ht="12.75" customHeight="1">
      <c r="M101" s="345">
        <f>ROW()</f>
        <v>101</v>
      </c>
    </row>
    <row r="102" ht="12.75" customHeight="1">
      <c r="M102" s="345">
        <f>ROW()</f>
        <v>102</v>
      </c>
    </row>
    <row r="103" ht="12.75" customHeight="1">
      <c r="M103" s="345">
        <f>ROW()</f>
        <v>103</v>
      </c>
    </row>
    <row r="104" ht="12.75" customHeight="1">
      <c r="M104" s="345">
        <f>ROW()</f>
        <v>104</v>
      </c>
    </row>
    <row r="105" ht="12.75" customHeight="1">
      <c r="M105" s="345">
        <f>ROW()</f>
        <v>105</v>
      </c>
    </row>
    <row r="106" ht="12.75" customHeight="1">
      <c r="M106" s="345">
        <f>ROW()</f>
        <v>106</v>
      </c>
    </row>
    <row r="107" ht="12.75" customHeight="1">
      <c r="M107" s="345">
        <f>ROW()</f>
        <v>107</v>
      </c>
    </row>
    <row r="108" ht="12.75" customHeight="1">
      <c r="M108" s="345">
        <f>ROW()</f>
        <v>108</v>
      </c>
    </row>
    <row r="109" ht="12.75" customHeight="1">
      <c r="M109" s="345">
        <f>ROW()</f>
        <v>109</v>
      </c>
    </row>
    <row r="110" ht="12.75" customHeight="1">
      <c r="M110" s="345">
        <f>ROW()</f>
        <v>110</v>
      </c>
    </row>
    <row r="111" ht="12.75" customHeight="1">
      <c r="M111" s="345">
        <f>ROW()</f>
        <v>111</v>
      </c>
    </row>
    <row r="112" ht="12.75" customHeight="1">
      <c r="M112" s="345">
        <f>ROW()</f>
        <v>112</v>
      </c>
    </row>
    <row r="113" ht="12.75" customHeight="1">
      <c r="M113" s="345">
        <f>ROW()</f>
        <v>113</v>
      </c>
    </row>
    <row r="114" ht="12.75" customHeight="1">
      <c r="M114" s="345">
        <f>ROW()</f>
        <v>114</v>
      </c>
    </row>
    <row r="115" ht="12.75" customHeight="1">
      <c r="M115" s="345">
        <f>ROW()</f>
        <v>115</v>
      </c>
    </row>
    <row r="116" ht="12.75" customHeight="1">
      <c r="M116" s="345">
        <f>ROW()</f>
        <v>116</v>
      </c>
    </row>
    <row r="117" ht="12.75" customHeight="1">
      <c r="M117" s="345">
        <f>ROW()</f>
        <v>117</v>
      </c>
    </row>
    <row r="118" ht="12.75" customHeight="1">
      <c r="M118" s="345">
        <f>ROW()</f>
        <v>118</v>
      </c>
    </row>
    <row r="119" ht="12.75" customHeight="1">
      <c r="M119" s="345">
        <f>ROW()</f>
        <v>119</v>
      </c>
    </row>
    <row r="120" ht="12.75" customHeight="1">
      <c r="M120" s="345">
        <f>ROW()</f>
        <v>120</v>
      </c>
    </row>
    <row r="121" ht="12.75" customHeight="1">
      <c r="M121" s="345">
        <f>ROW()</f>
        <v>121</v>
      </c>
    </row>
    <row r="122" ht="12.75" customHeight="1">
      <c r="M122" s="345">
        <f>ROW()</f>
        <v>122</v>
      </c>
    </row>
    <row r="123" ht="12.75" customHeight="1">
      <c r="M123" s="345">
        <f>ROW()</f>
        <v>123</v>
      </c>
    </row>
    <row r="124" ht="12.75" customHeight="1">
      <c r="M124" s="345">
        <f>ROW()</f>
        <v>124</v>
      </c>
    </row>
    <row r="125" ht="12.75" customHeight="1">
      <c r="M125" s="345">
        <f>ROW()</f>
        <v>125</v>
      </c>
    </row>
    <row r="126" ht="12.75" customHeight="1">
      <c r="M126" s="345">
        <f>ROW()</f>
        <v>126</v>
      </c>
    </row>
    <row r="127" ht="12.75" customHeight="1">
      <c r="M127" s="345">
        <f>ROW()</f>
        <v>127</v>
      </c>
    </row>
    <row r="128" ht="12.75" customHeight="1">
      <c r="M128" s="345">
        <f>ROW()</f>
        <v>128</v>
      </c>
    </row>
    <row r="129" ht="12.75" customHeight="1">
      <c r="M129" s="345">
        <f>ROW()</f>
        <v>129</v>
      </c>
    </row>
    <row r="130" ht="12.75" customHeight="1">
      <c r="M130" s="345">
        <f>ROW()</f>
        <v>130</v>
      </c>
    </row>
    <row r="131" ht="12.75" customHeight="1">
      <c r="M131" s="345">
        <f>ROW()</f>
        <v>131</v>
      </c>
    </row>
    <row r="132" ht="12.75" customHeight="1">
      <c r="M132" s="345">
        <f>ROW()</f>
        <v>132</v>
      </c>
    </row>
    <row r="133" ht="12.75" customHeight="1">
      <c r="M133" s="345">
        <f>ROW()</f>
        <v>133</v>
      </c>
    </row>
    <row r="134" ht="12.75" customHeight="1">
      <c r="M134" s="345">
        <f>ROW()</f>
        <v>134</v>
      </c>
    </row>
    <row r="135" ht="12.75" customHeight="1">
      <c r="M135" s="345">
        <f>ROW()</f>
        <v>135</v>
      </c>
    </row>
    <row r="136" ht="12.75" customHeight="1">
      <c r="M136" s="345">
        <f>ROW()</f>
        <v>136</v>
      </c>
    </row>
    <row r="137" ht="12.75" customHeight="1">
      <c r="M137" s="345">
        <f>ROW()</f>
        <v>137</v>
      </c>
    </row>
    <row r="138" ht="12.75" customHeight="1">
      <c r="M138" s="345">
        <f>ROW()</f>
        <v>138</v>
      </c>
    </row>
    <row r="139" ht="12.75" customHeight="1">
      <c r="M139" s="345">
        <f>ROW()</f>
        <v>139</v>
      </c>
    </row>
    <row r="140" ht="12.75" customHeight="1">
      <c r="M140" s="345">
        <f>ROW()</f>
        <v>140</v>
      </c>
    </row>
    <row r="141" ht="12.75" customHeight="1">
      <c r="M141" s="345">
        <f>ROW()</f>
        <v>141</v>
      </c>
    </row>
    <row r="142" ht="12.75" customHeight="1">
      <c r="M142" s="345">
        <f>ROW()</f>
        <v>142</v>
      </c>
    </row>
    <row r="143" ht="12.75" customHeight="1">
      <c r="M143" s="345">
        <f>ROW()</f>
        <v>143</v>
      </c>
    </row>
    <row r="144" ht="12.75" customHeight="1">
      <c r="M144" s="345">
        <f>ROW()</f>
        <v>144</v>
      </c>
    </row>
    <row r="145" ht="12.75" customHeight="1">
      <c r="M145" s="345">
        <f>ROW()</f>
        <v>145</v>
      </c>
    </row>
    <row r="146" ht="12.75" customHeight="1">
      <c r="M146" s="345">
        <f>ROW()</f>
        <v>146</v>
      </c>
    </row>
    <row r="147" ht="12.75" customHeight="1">
      <c r="M147" s="345">
        <f>ROW()</f>
        <v>147</v>
      </c>
    </row>
    <row r="148" ht="12.75" customHeight="1">
      <c r="M148" s="345">
        <f>ROW()</f>
        <v>148</v>
      </c>
    </row>
    <row r="149" ht="12.75" customHeight="1">
      <c r="M149" s="345">
        <f>ROW()</f>
        <v>149</v>
      </c>
    </row>
    <row r="150" ht="12.75" customHeight="1">
      <c r="M150" s="345">
        <f>ROW()</f>
        <v>150</v>
      </c>
    </row>
    <row r="151" ht="12.75" customHeight="1">
      <c r="M151" s="345">
        <f>ROW()</f>
        <v>151</v>
      </c>
    </row>
    <row r="152" ht="12.75" customHeight="1">
      <c r="M152" s="345">
        <f>ROW()</f>
        <v>152</v>
      </c>
    </row>
    <row r="153" ht="12.75" customHeight="1">
      <c r="M153" s="345">
        <f>ROW()</f>
        <v>153</v>
      </c>
    </row>
    <row r="154" ht="12.75" customHeight="1">
      <c r="M154" s="345">
        <f>ROW()</f>
        <v>154</v>
      </c>
    </row>
    <row r="155" ht="12.75" customHeight="1">
      <c r="M155" s="345">
        <f>ROW()</f>
        <v>155</v>
      </c>
    </row>
    <row r="156" ht="12.75" customHeight="1">
      <c r="M156" s="345">
        <f>ROW()</f>
        <v>156</v>
      </c>
    </row>
    <row r="157" ht="12.75" customHeight="1">
      <c r="M157" s="345">
        <f>ROW()</f>
        <v>157</v>
      </c>
    </row>
    <row r="158" ht="12.75" customHeight="1">
      <c r="M158" s="345">
        <f>ROW()</f>
        <v>158</v>
      </c>
    </row>
    <row r="159" ht="12.75" customHeight="1">
      <c r="M159" s="345">
        <f>ROW()</f>
        <v>159</v>
      </c>
    </row>
    <row r="160" ht="12.75" customHeight="1">
      <c r="M160" s="345">
        <f>ROW()</f>
        <v>160</v>
      </c>
    </row>
    <row r="161" ht="12.75" customHeight="1">
      <c r="M161" s="345">
        <f>ROW()</f>
        <v>161</v>
      </c>
    </row>
    <row r="162" ht="12.75" customHeight="1">
      <c r="M162" s="345">
        <f>ROW()</f>
        <v>162</v>
      </c>
    </row>
    <row r="163" ht="12.75" customHeight="1">
      <c r="M163" s="345">
        <f>ROW()</f>
        <v>163</v>
      </c>
    </row>
    <row r="164" ht="12.75" customHeight="1">
      <c r="M164" s="345">
        <f>ROW()</f>
        <v>164</v>
      </c>
    </row>
    <row r="165" ht="12.75" customHeight="1">
      <c r="M165" s="345">
        <f>ROW()</f>
        <v>165</v>
      </c>
    </row>
    <row r="166" ht="12.75" customHeight="1">
      <c r="M166" s="345">
        <f>ROW()</f>
        <v>166</v>
      </c>
    </row>
    <row r="167" ht="12.75" customHeight="1">
      <c r="M167" s="345">
        <f>ROW()</f>
        <v>167</v>
      </c>
    </row>
    <row r="168" ht="12.75" customHeight="1">
      <c r="M168" s="345">
        <f>ROW()</f>
        <v>168</v>
      </c>
    </row>
    <row r="169" ht="12.75" customHeight="1">
      <c r="M169" s="345">
        <f>ROW()</f>
        <v>169</v>
      </c>
    </row>
    <row r="170" ht="12.75" customHeight="1">
      <c r="M170" s="345">
        <f>ROW()</f>
        <v>170</v>
      </c>
    </row>
    <row r="171" ht="12.75" customHeight="1">
      <c r="M171" s="345">
        <f>ROW()</f>
        <v>171</v>
      </c>
    </row>
    <row r="172" ht="12.75" customHeight="1">
      <c r="M172" s="345">
        <f>ROW()</f>
        <v>172</v>
      </c>
    </row>
    <row r="173" ht="12.75" customHeight="1">
      <c r="M173" s="345">
        <f>ROW()</f>
        <v>173</v>
      </c>
    </row>
    <row r="174" ht="12.75" customHeight="1">
      <c r="M174" s="345">
        <f>ROW()</f>
        <v>174</v>
      </c>
    </row>
    <row r="175" ht="12.75" customHeight="1">
      <c r="M175" s="345">
        <f>ROW()</f>
        <v>175</v>
      </c>
    </row>
    <row r="176" ht="12.75" customHeight="1">
      <c r="M176" s="345">
        <f>ROW()</f>
        <v>176</v>
      </c>
    </row>
    <row r="177" ht="12.75" customHeight="1">
      <c r="M177" s="345">
        <f>ROW()</f>
        <v>177</v>
      </c>
    </row>
    <row r="178" ht="12.75" customHeight="1">
      <c r="M178" s="345">
        <f>ROW()</f>
        <v>178</v>
      </c>
    </row>
    <row r="179" ht="12.75" customHeight="1">
      <c r="M179" s="345">
        <f>ROW()</f>
        <v>179</v>
      </c>
    </row>
    <row r="180" ht="12.75" customHeight="1">
      <c r="M180" s="345">
        <f>ROW()</f>
        <v>180</v>
      </c>
    </row>
    <row r="181" ht="12.75" customHeight="1">
      <c r="M181" s="345">
        <f>ROW()</f>
        <v>181</v>
      </c>
    </row>
    <row r="182" ht="12.75" customHeight="1">
      <c r="M182" s="345">
        <f>ROW()</f>
        <v>182</v>
      </c>
    </row>
    <row r="183" ht="12.75" customHeight="1">
      <c r="M183" s="345">
        <f>ROW()</f>
        <v>183</v>
      </c>
    </row>
    <row r="184" ht="12.75" customHeight="1">
      <c r="M184" s="345">
        <f>ROW()</f>
        <v>184</v>
      </c>
    </row>
    <row r="185" ht="12.75" customHeight="1">
      <c r="M185" s="345">
        <f>ROW()</f>
        <v>185</v>
      </c>
    </row>
    <row r="186" ht="12.75" customHeight="1">
      <c r="M186" s="345">
        <f>ROW()</f>
        <v>186</v>
      </c>
    </row>
    <row r="187" ht="12.75" customHeight="1">
      <c r="M187" s="345">
        <f>ROW()</f>
        <v>187</v>
      </c>
    </row>
    <row r="188" ht="12.75" customHeight="1">
      <c r="M188" s="345">
        <f>ROW()</f>
        <v>188</v>
      </c>
    </row>
    <row r="189" ht="12.75" customHeight="1">
      <c r="M189" s="345">
        <f>ROW()</f>
        <v>189</v>
      </c>
    </row>
    <row r="190" ht="12.75" customHeight="1">
      <c r="M190" s="345">
        <f>ROW()</f>
        <v>190</v>
      </c>
    </row>
    <row r="191" ht="12.75" customHeight="1">
      <c r="M191" s="345">
        <f>ROW()</f>
        <v>191</v>
      </c>
    </row>
    <row r="192" ht="12.75" customHeight="1">
      <c r="M192" s="345">
        <f>ROW()</f>
        <v>192</v>
      </c>
    </row>
    <row r="193" ht="12.75" customHeight="1">
      <c r="M193" s="345">
        <f>ROW()</f>
        <v>193</v>
      </c>
    </row>
    <row r="194" ht="12.75" customHeight="1">
      <c r="M194" s="345">
        <f>ROW()</f>
        <v>194</v>
      </c>
    </row>
    <row r="195" ht="12.75" customHeight="1">
      <c r="M195" s="345">
        <f>ROW()</f>
        <v>195</v>
      </c>
    </row>
    <row r="196" ht="12.75" customHeight="1">
      <c r="M196" s="345">
        <f>ROW()</f>
        <v>196</v>
      </c>
    </row>
    <row r="197" ht="12.75" customHeight="1">
      <c r="M197" s="345">
        <f>ROW()</f>
        <v>197</v>
      </c>
    </row>
    <row r="198" ht="12.75" customHeight="1">
      <c r="M198" s="345">
        <f>ROW()</f>
        <v>198</v>
      </c>
    </row>
    <row r="199" ht="12.75" customHeight="1">
      <c r="M199" s="345">
        <f>ROW()</f>
        <v>199</v>
      </c>
    </row>
    <row r="200" ht="12.75" customHeight="1">
      <c r="M200" s="345">
        <f>ROW()</f>
        <v>200</v>
      </c>
    </row>
    <row r="201" ht="12.75" customHeight="1">
      <c r="M201" s="345">
        <f>ROW()</f>
        <v>201</v>
      </c>
    </row>
    <row r="202" ht="12.75" customHeight="1">
      <c r="M202" s="345">
        <f>ROW()</f>
        <v>202</v>
      </c>
    </row>
    <row r="203" ht="12.75" customHeight="1">
      <c r="M203" s="345">
        <f>ROW()</f>
        <v>203</v>
      </c>
    </row>
    <row r="204" ht="12.75" customHeight="1">
      <c r="M204" s="345">
        <f>ROW()</f>
        <v>204</v>
      </c>
    </row>
    <row r="205" ht="12.75" customHeight="1">
      <c r="M205" s="345">
        <f>ROW()</f>
        <v>205</v>
      </c>
    </row>
    <row r="206" ht="12.75" customHeight="1">
      <c r="M206" s="345">
        <f>ROW()</f>
        <v>206</v>
      </c>
    </row>
    <row r="207" ht="12.75" customHeight="1">
      <c r="M207" s="345">
        <f>ROW()</f>
        <v>207</v>
      </c>
    </row>
    <row r="208" ht="12.75" customHeight="1">
      <c r="M208" s="345">
        <f>ROW()</f>
        <v>208</v>
      </c>
    </row>
    <row r="209" ht="12.75" customHeight="1">
      <c r="M209" s="345">
        <f>ROW()</f>
        <v>209</v>
      </c>
    </row>
    <row r="210" ht="12.75" customHeight="1">
      <c r="M210" s="345">
        <f>ROW()</f>
        <v>210</v>
      </c>
    </row>
    <row r="211" ht="12.75" customHeight="1">
      <c r="M211" s="345">
        <f>ROW()</f>
        <v>211</v>
      </c>
    </row>
    <row r="212" ht="12.75" customHeight="1">
      <c r="M212" s="345">
        <f>ROW()</f>
        <v>212</v>
      </c>
    </row>
    <row r="213" ht="12.75" customHeight="1">
      <c r="M213" s="345">
        <f>ROW()</f>
        <v>213</v>
      </c>
    </row>
    <row r="214" ht="12.75" customHeight="1">
      <c r="M214" s="345">
        <f>ROW()</f>
        <v>214</v>
      </c>
    </row>
    <row r="215" ht="12.75" customHeight="1">
      <c r="M215" s="345">
        <f>ROW()</f>
        <v>215</v>
      </c>
    </row>
    <row r="216" ht="12.75" customHeight="1">
      <c r="M216" s="345">
        <f>ROW()</f>
        <v>216</v>
      </c>
    </row>
    <row r="217" ht="12.75" customHeight="1">
      <c r="M217" s="345">
        <f>ROW()</f>
        <v>217</v>
      </c>
    </row>
    <row r="218" ht="12.75" customHeight="1">
      <c r="M218" s="345">
        <f>ROW()</f>
        <v>218</v>
      </c>
    </row>
    <row r="219" ht="12.75" customHeight="1">
      <c r="M219" s="345">
        <f>ROW()</f>
        <v>219</v>
      </c>
    </row>
    <row r="220" ht="12.75" customHeight="1">
      <c r="M220" s="345">
        <f>ROW()</f>
        <v>220</v>
      </c>
    </row>
    <row r="221" ht="12.75" customHeight="1">
      <c r="M221" s="345">
        <f>ROW()</f>
        <v>221</v>
      </c>
    </row>
    <row r="222" ht="12.75" customHeight="1">
      <c r="M222" s="345">
        <f>ROW()</f>
        <v>222</v>
      </c>
    </row>
    <row r="223" ht="12.75" customHeight="1">
      <c r="M223" s="345">
        <f>ROW()</f>
        <v>223</v>
      </c>
    </row>
    <row r="224" ht="12.75" customHeight="1">
      <c r="M224" s="345">
        <f>ROW()</f>
        <v>224</v>
      </c>
    </row>
    <row r="225" ht="12.75" customHeight="1">
      <c r="M225" s="345">
        <f>ROW()</f>
        <v>225</v>
      </c>
    </row>
    <row r="226" ht="12.75" customHeight="1">
      <c r="M226" s="345">
        <f>ROW()</f>
        <v>226</v>
      </c>
    </row>
    <row r="227" ht="12.75" customHeight="1">
      <c r="M227" s="345">
        <f>ROW()</f>
        <v>227</v>
      </c>
    </row>
    <row r="228" ht="12.75" customHeight="1">
      <c r="M228" s="345">
        <f>ROW()</f>
        <v>228</v>
      </c>
    </row>
    <row r="229" ht="12.75" customHeight="1">
      <c r="M229" s="345">
        <f>ROW()</f>
        <v>229</v>
      </c>
    </row>
    <row r="230" ht="12.75" customHeight="1">
      <c r="M230" s="345">
        <f>ROW()</f>
        <v>230</v>
      </c>
    </row>
    <row r="231" ht="12.75" customHeight="1">
      <c r="M231" s="345">
        <f>ROW()</f>
        <v>231</v>
      </c>
    </row>
    <row r="232" ht="12.75" customHeight="1">
      <c r="M232" s="345">
        <f>ROW()</f>
        <v>232</v>
      </c>
    </row>
    <row r="233" ht="12.75" customHeight="1">
      <c r="M233" s="345">
        <f>ROW()</f>
        <v>233</v>
      </c>
    </row>
    <row r="234" ht="12.75" customHeight="1">
      <c r="M234" s="345">
        <f>ROW()</f>
        <v>234</v>
      </c>
    </row>
    <row r="235" ht="12.75" customHeight="1">
      <c r="M235" s="345">
        <f>ROW()</f>
        <v>235</v>
      </c>
    </row>
    <row r="236" ht="12.75" customHeight="1">
      <c r="M236" s="345">
        <f>ROW()</f>
        <v>236</v>
      </c>
    </row>
    <row r="237" ht="12.75" customHeight="1">
      <c r="M237" s="345">
        <f>ROW()</f>
        <v>237</v>
      </c>
    </row>
    <row r="238" ht="12.75" customHeight="1">
      <c r="M238" s="345">
        <f>ROW()</f>
        <v>238</v>
      </c>
    </row>
    <row r="239" ht="12.75" customHeight="1">
      <c r="M239" s="345">
        <f>ROW()</f>
        <v>239</v>
      </c>
    </row>
    <row r="240" ht="12.75" customHeight="1">
      <c r="M240" s="345">
        <f>ROW()</f>
        <v>240</v>
      </c>
    </row>
    <row r="241" ht="12.75" customHeight="1">
      <c r="M241" s="345">
        <f>ROW()</f>
        <v>241</v>
      </c>
    </row>
    <row r="242" ht="12.75" customHeight="1">
      <c r="M242" s="345">
        <f>ROW()</f>
        <v>242</v>
      </c>
    </row>
    <row r="243" ht="12.75" customHeight="1">
      <c r="M243" s="345">
        <f>ROW()</f>
        <v>243</v>
      </c>
    </row>
    <row r="244" ht="12.75" customHeight="1">
      <c r="M244" s="345">
        <f>ROW()</f>
        <v>244</v>
      </c>
    </row>
    <row r="245" ht="12.75" customHeight="1">
      <c r="M245" s="345">
        <f>ROW()</f>
        <v>245</v>
      </c>
    </row>
    <row r="246" ht="12.75" customHeight="1">
      <c r="M246" s="345">
        <f>ROW()</f>
        <v>246</v>
      </c>
    </row>
    <row r="247" ht="12.75" customHeight="1">
      <c r="M247" s="345">
        <f>ROW()</f>
        <v>247</v>
      </c>
    </row>
    <row r="248" ht="12.75" customHeight="1">
      <c r="M248" s="345">
        <f>ROW()</f>
        <v>248</v>
      </c>
    </row>
    <row r="249" ht="12.75" customHeight="1">
      <c r="M249" s="345">
        <f>ROW()</f>
        <v>249</v>
      </c>
    </row>
    <row r="250" ht="12.75" customHeight="1">
      <c r="M250" s="345">
        <f>ROW()</f>
        <v>250</v>
      </c>
    </row>
    <row r="251" ht="12.75" customHeight="1">
      <c r="M251" s="345">
        <f>ROW()</f>
        <v>251</v>
      </c>
    </row>
    <row r="252" ht="12.75" customHeight="1">
      <c r="M252" s="345">
        <f>ROW()</f>
        <v>252</v>
      </c>
    </row>
    <row r="253" ht="12.75" customHeight="1">
      <c r="M253" s="345">
        <f>ROW()</f>
        <v>253</v>
      </c>
    </row>
    <row r="254" ht="12.75" customHeight="1">
      <c r="M254" s="345">
        <f>ROW()</f>
        <v>254</v>
      </c>
    </row>
    <row r="255" ht="12.75" customHeight="1">
      <c r="M255" s="345">
        <f>ROW()</f>
        <v>255</v>
      </c>
    </row>
    <row r="256" ht="12.75" customHeight="1">
      <c r="M256" s="345">
        <f>ROW()</f>
        <v>256</v>
      </c>
    </row>
    <row r="257" ht="12.75" customHeight="1">
      <c r="M257" s="345">
        <f>ROW()</f>
        <v>257</v>
      </c>
    </row>
    <row r="258" ht="12.75" customHeight="1">
      <c r="M258" s="345">
        <f>ROW()</f>
        <v>258</v>
      </c>
    </row>
    <row r="259" ht="12.75" customHeight="1">
      <c r="M259" s="345">
        <f>ROW()</f>
        <v>259</v>
      </c>
    </row>
    <row r="260" ht="12.75" customHeight="1">
      <c r="M260" s="345">
        <f>ROW()</f>
        <v>260</v>
      </c>
    </row>
    <row r="261" ht="12.75" customHeight="1">
      <c r="M261" s="345">
        <f>ROW()</f>
        <v>261</v>
      </c>
    </row>
    <row r="262" ht="12.75" customHeight="1">
      <c r="M262" s="345">
        <f>ROW()</f>
        <v>262</v>
      </c>
    </row>
    <row r="263" ht="12.75" customHeight="1">
      <c r="M263" s="345">
        <f>ROW()</f>
        <v>263</v>
      </c>
    </row>
    <row r="264" ht="12.75" customHeight="1">
      <c r="M264" s="345">
        <f>ROW()</f>
        <v>264</v>
      </c>
    </row>
    <row r="265" ht="12.75" customHeight="1">
      <c r="M265" s="345">
        <f>ROW()</f>
        <v>265</v>
      </c>
    </row>
    <row r="266" ht="12.75" customHeight="1">
      <c r="M266" s="345">
        <f>ROW()</f>
        <v>266</v>
      </c>
    </row>
    <row r="267" ht="12.75" customHeight="1">
      <c r="M267" s="345">
        <f>ROW()</f>
        <v>267</v>
      </c>
    </row>
    <row r="268" ht="12.75" customHeight="1">
      <c r="M268" s="345">
        <f>ROW()</f>
        <v>268</v>
      </c>
    </row>
    <row r="269" ht="12.75" customHeight="1">
      <c r="M269" s="345">
        <f>ROW()</f>
        <v>269</v>
      </c>
    </row>
    <row r="270" ht="12.75" customHeight="1">
      <c r="M270" s="345">
        <f>ROW()</f>
        <v>270</v>
      </c>
    </row>
    <row r="271" ht="12.75" customHeight="1">
      <c r="M271" s="345">
        <f>ROW()</f>
        <v>271</v>
      </c>
    </row>
    <row r="272" ht="12.75" customHeight="1">
      <c r="M272" s="345">
        <f>ROW()</f>
        <v>272</v>
      </c>
    </row>
    <row r="273" ht="12.75" customHeight="1">
      <c r="M273" s="345">
        <f>ROW()</f>
        <v>273</v>
      </c>
    </row>
    <row r="274" ht="12.75" customHeight="1">
      <c r="M274" s="345">
        <f>ROW()</f>
        <v>274</v>
      </c>
    </row>
    <row r="275" ht="12.75" customHeight="1">
      <c r="M275" s="345">
        <f>ROW()</f>
        <v>275</v>
      </c>
    </row>
    <row r="276" ht="12.75" customHeight="1">
      <c r="M276" s="345">
        <f>ROW()</f>
        <v>276</v>
      </c>
    </row>
    <row r="277" ht="12.75" customHeight="1">
      <c r="M277" s="345">
        <f>ROW()</f>
        <v>277</v>
      </c>
    </row>
    <row r="278" ht="12.75" customHeight="1">
      <c r="M278" s="345">
        <f>ROW()</f>
        <v>278</v>
      </c>
    </row>
    <row r="279" ht="12.75" customHeight="1">
      <c r="M279" s="345">
        <f>ROW()</f>
        <v>279</v>
      </c>
    </row>
    <row r="280" ht="12.75" customHeight="1">
      <c r="M280" s="345">
        <f>ROW()</f>
        <v>280</v>
      </c>
    </row>
    <row r="281" ht="12.75" customHeight="1">
      <c r="M281" s="345">
        <f>ROW()</f>
        <v>281</v>
      </c>
    </row>
    <row r="282" ht="12.75" customHeight="1">
      <c r="M282" s="345">
        <f>ROW()</f>
        <v>282</v>
      </c>
    </row>
    <row r="283" ht="12.75" customHeight="1">
      <c r="M283" s="345">
        <f>ROW()</f>
        <v>283</v>
      </c>
    </row>
    <row r="284" ht="12.75" customHeight="1">
      <c r="M284" s="345">
        <f>ROW()</f>
        <v>284</v>
      </c>
    </row>
    <row r="285" ht="12.75" customHeight="1">
      <c r="M285" s="345">
        <f>ROW()</f>
        <v>285</v>
      </c>
    </row>
    <row r="286" ht="12.75" customHeight="1">
      <c r="M286" s="345">
        <f>ROW()</f>
        <v>286</v>
      </c>
    </row>
    <row r="287" ht="12.75" customHeight="1">
      <c r="M287" s="345">
        <f>ROW()</f>
        <v>287</v>
      </c>
    </row>
    <row r="288" ht="12.75" customHeight="1">
      <c r="M288" s="345">
        <f>ROW()</f>
        <v>288</v>
      </c>
    </row>
    <row r="289" ht="12.75" customHeight="1">
      <c r="M289" s="345">
        <f>ROW()</f>
        <v>289</v>
      </c>
    </row>
    <row r="290" ht="12.75" customHeight="1">
      <c r="M290" s="345">
        <f>ROW()</f>
        <v>290</v>
      </c>
    </row>
    <row r="291" ht="12.75" customHeight="1">
      <c r="M291" s="345">
        <f>ROW()</f>
        <v>291</v>
      </c>
    </row>
    <row r="292" ht="12.75" customHeight="1">
      <c r="M292" s="345">
        <f>ROW()</f>
        <v>292</v>
      </c>
    </row>
    <row r="293" ht="12.75" customHeight="1">
      <c r="M293" s="345">
        <f>ROW()</f>
        <v>293</v>
      </c>
    </row>
    <row r="294" ht="12.75" customHeight="1">
      <c r="M294" s="345">
        <f>ROW()</f>
        <v>294</v>
      </c>
    </row>
    <row r="295" ht="12.75" customHeight="1">
      <c r="M295" s="345">
        <f>ROW()</f>
        <v>295</v>
      </c>
    </row>
    <row r="296" ht="12.75" customHeight="1">
      <c r="M296" s="345">
        <f>ROW()</f>
        <v>296</v>
      </c>
    </row>
    <row r="297" ht="12.75" customHeight="1">
      <c r="M297" s="345">
        <f>ROW()</f>
        <v>297</v>
      </c>
    </row>
    <row r="298" ht="12.75" customHeight="1">
      <c r="M298" s="345">
        <f>ROW()</f>
        <v>298</v>
      </c>
    </row>
    <row r="299" ht="12.75" customHeight="1">
      <c r="M299" s="345">
        <f>ROW()</f>
        <v>299</v>
      </c>
    </row>
    <row r="300" ht="12.75" customHeight="1">
      <c r="M300" s="345">
        <f>ROW()</f>
        <v>300</v>
      </c>
    </row>
    <row r="301" ht="12.75" customHeight="1">
      <c r="M301" s="345">
        <f>ROW()</f>
        <v>301</v>
      </c>
    </row>
    <row r="302" ht="12.75" customHeight="1">
      <c r="M302" s="345">
        <f>ROW()</f>
        <v>302</v>
      </c>
    </row>
    <row r="303" ht="12.75" customHeight="1">
      <c r="M303" s="345">
        <f>ROW()</f>
        <v>303</v>
      </c>
    </row>
    <row r="304" ht="12.75" customHeight="1">
      <c r="M304" s="345">
        <f>ROW()</f>
        <v>304</v>
      </c>
    </row>
    <row r="305" ht="12.75" customHeight="1">
      <c r="M305" s="345">
        <f>ROW()</f>
        <v>305</v>
      </c>
    </row>
    <row r="306" ht="12.75" customHeight="1">
      <c r="M306" s="345">
        <f>ROW()</f>
        <v>306</v>
      </c>
    </row>
    <row r="307" ht="12.75" customHeight="1">
      <c r="M307" s="345">
        <f>ROW()</f>
        <v>307</v>
      </c>
    </row>
    <row r="308" ht="12.75" customHeight="1">
      <c r="M308" s="345">
        <f>ROW()</f>
        <v>308</v>
      </c>
    </row>
    <row r="309" ht="12.75" customHeight="1">
      <c r="M309" s="345">
        <f>ROW()</f>
        <v>309</v>
      </c>
    </row>
    <row r="310" ht="12.75" customHeight="1">
      <c r="M310" s="345">
        <f>ROW()</f>
        <v>310</v>
      </c>
    </row>
    <row r="311" ht="12.75" customHeight="1">
      <c r="M311" s="345">
        <f>ROW()</f>
        <v>311</v>
      </c>
    </row>
    <row r="312" ht="12.75" customHeight="1">
      <c r="M312" s="345">
        <f>ROW()</f>
        <v>312</v>
      </c>
    </row>
    <row r="313" ht="12.75" customHeight="1">
      <c r="M313" s="345">
        <f>ROW()</f>
        <v>313</v>
      </c>
    </row>
    <row r="314" ht="12.75" customHeight="1">
      <c r="M314" s="345">
        <f>ROW()</f>
        <v>314</v>
      </c>
    </row>
    <row r="315" ht="12.75" customHeight="1">
      <c r="M315" s="345">
        <f>ROW()</f>
        <v>315</v>
      </c>
    </row>
    <row r="316" ht="12.75" customHeight="1">
      <c r="M316" s="345">
        <f>ROW()</f>
        <v>316</v>
      </c>
    </row>
    <row r="317" ht="12.75" customHeight="1">
      <c r="M317" s="345">
        <f>ROW()</f>
        <v>317</v>
      </c>
    </row>
    <row r="318" ht="12.75" customHeight="1">
      <c r="M318" s="345">
        <f>ROW()</f>
        <v>318</v>
      </c>
    </row>
    <row r="319" ht="12.75" customHeight="1">
      <c r="M319" s="345">
        <f>ROW()</f>
        <v>319</v>
      </c>
    </row>
    <row r="320" ht="12.75" customHeight="1">
      <c r="M320" s="345">
        <f>ROW()</f>
        <v>320</v>
      </c>
    </row>
    <row r="321" ht="12.75" customHeight="1">
      <c r="M321" s="345">
        <f>ROW()</f>
        <v>321</v>
      </c>
    </row>
    <row r="322" ht="12.75" customHeight="1">
      <c r="M322" s="345">
        <f>ROW()</f>
        <v>322</v>
      </c>
    </row>
    <row r="323" ht="12.75" customHeight="1">
      <c r="M323" s="345">
        <f>ROW()</f>
        <v>323</v>
      </c>
    </row>
    <row r="324" ht="12.75" customHeight="1">
      <c r="M324" s="345">
        <f>ROW()</f>
        <v>324</v>
      </c>
    </row>
    <row r="325" ht="12.75" customHeight="1">
      <c r="M325" s="345">
        <f>ROW()</f>
        <v>325</v>
      </c>
    </row>
    <row r="326" ht="12.75" customHeight="1">
      <c r="M326" s="345">
        <f>ROW()</f>
        <v>326</v>
      </c>
    </row>
    <row r="327" ht="12.75" customHeight="1">
      <c r="M327" s="345">
        <f>ROW()</f>
        <v>327</v>
      </c>
    </row>
    <row r="328" ht="12.75" customHeight="1">
      <c r="M328" s="345">
        <f>ROW()</f>
        <v>328</v>
      </c>
    </row>
    <row r="329" ht="12.75" customHeight="1">
      <c r="M329" s="345">
        <f>ROW()</f>
        <v>329</v>
      </c>
    </row>
    <row r="330" ht="12.75" customHeight="1">
      <c r="M330" s="345">
        <f>ROW()</f>
        <v>330</v>
      </c>
    </row>
    <row r="331" ht="12.75" customHeight="1">
      <c r="M331" s="345">
        <f>ROW()</f>
        <v>331</v>
      </c>
    </row>
    <row r="332" ht="12.75" customHeight="1">
      <c r="M332" s="345">
        <f>ROW()</f>
        <v>332</v>
      </c>
    </row>
    <row r="333" ht="12.75" customHeight="1">
      <c r="M333" s="345">
        <f>ROW()</f>
        <v>333</v>
      </c>
    </row>
    <row r="334" ht="12.75" customHeight="1">
      <c r="M334" s="345">
        <f>ROW()</f>
        <v>334</v>
      </c>
    </row>
    <row r="335" ht="12.75" customHeight="1">
      <c r="M335" s="345">
        <f>ROW()</f>
        <v>335</v>
      </c>
    </row>
    <row r="336" ht="12.75" customHeight="1">
      <c r="M336" s="345">
        <f>ROW()</f>
        <v>336</v>
      </c>
    </row>
    <row r="337" ht="12.75" customHeight="1">
      <c r="M337" s="345">
        <f>ROW()</f>
        <v>337</v>
      </c>
    </row>
    <row r="338" ht="12.75" customHeight="1">
      <c r="M338" s="345">
        <f>ROW()</f>
        <v>338</v>
      </c>
    </row>
    <row r="339" ht="12.75" customHeight="1">
      <c r="M339" s="345">
        <f>ROW()</f>
        <v>339</v>
      </c>
    </row>
    <row r="340" ht="12.75" customHeight="1">
      <c r="M340" s="345">
        <f>ROW()</f>
        <v>340</v>
      </c>
    </row>
    <row r="341" ht="12.75" customHeight="1">
      <c r="M341" s="345">
        <f>ROW()</f>
        <v>341</v>
      </c>
    </row>
    <row r="342" ht="12.75" customHeight="1">
      <c r="M342" s="345">
        <f>ROW()</f>
        <v>342</v>
      </c>
    </row>
    <row r="343" ht="12.75" customHeight="1">
      <c r="M343" s="345">
        <f>ROW()</f>
        <v>343</v>
      </c>
    </row>
    <row r="344" ht="12.75" customHeight="1">
      <c r="M344" s="345">
        <f>ROW()</f>
        <v>344</v>
      </c>
    </row>
    <row r="345" ht="12.75" customHeight="1">
      <c r="M345" s="345">
        <f>ROW()</f>
        <v>345</v>
      </c>
    </row>
    <row r="346" ht="12.75" customHeight="1">
      <c r="M346" s="345">
        <f>ROW()</f>
        <v>346</v>
      </c>
    </row>
    <row r="347" ht="12.75" customHeight="1">
      <c r="M347" s="345">
        <f>ROW()</f>
        <v>347</v>
      </c>
    </row>
    <row r="348" ht="12.75" customHeight="1">
      <c r="M348" s="345">
        <f>ROW()</f>
        <v>348</v>
      </c>
    </row>
    <row r="349" ht="12.75" customHeight="1">
      <c r="M349" s="345">
        <f>ROW()</f>
        <v>349</v>
      </c>
    </row>
    <row r="350" ht="12.75" customHeight="1">
      <c r="M350" s="345">
        <f>ROW()</f>
        <v>350</v>
      </c>
    </row>
    <row r="351" ht="12.75" customHeight="1">
      <c r="M351" s="345">
        <f>ROW()</f>
        <v>351</v>
      </c>
    </row>
    <row r="352" ht="12.75" customHeight="1">
      <c r="M352" s="345">
        <f>ROW()</f>
        <v>352</v>
      </c>
    </row>
    <row r="353" ht="12.75" customHeight="1">
      <c r="M353" s="345">
        <f>ROW()</f>
        <v>353</v>
      </c>
    </row>
    <row r="354" ht="12.75" customHeight="1">
      <c r="M354" s="345">
        <f>ROW()</f>
        <v>354</v>
      </c>
    </row>
    <row r="355" ht="12.75" customHeight="1">
      <c r="M355" s="345">
        <f>ROW()</f>
        <v>355</v>
      </c>
    </row>
    <row r="356" ht="12.75" customHeight="1">
      <c r="M356" s="345">
        <f>ROW()</f>
        <v>356</v>
      </c>
    </row>
    <row r="357" ht="12.75" customHeight="1">
      <c r="M357" s="345">
        <f>ROW()</f>
        <v>357</v>
      </c>
    </row>
    <row r="358" ht="12.75" customHeight="1">
      <c r="M358" s="345">
        <f>ROW()</f>
        <v>358</v>
      </c>
    </row>
    <row r="359" ht="12.75" customHeight="1">
      <c r="M359" s="345">
        <f>ROW()</f>
        <v>359</v>
      </c>
    </row>
    <row r="360" ht="12.75" customHeight="1">
      <c r="M360" s="345">
        <f>ROW()</f>
        <v>360</v>
      </c>
    </row>
    <row r="361" ht="12.75" customHeight="1">
      <c r="M361" s="345">
        <f>ROW()</f>
        <v>361</v>
      </c>
    </row>
    <row r="362" ht="12.75" customHeight="1">
      <c r="M362" s="345">
        <f>ROW()</f>
        <v>362</v>
      </c>
    </row>
    <row r="363" ht="12.75" customHeight="1">
      <c r="M363" s="345">
        <f>ROW()</f>
        <v>363</v>
      </c>
    </row>
    <row r="364" ht="12.75" customHeight="1">
      <c r="M364" s="345">
        <f>ROW()</f>
        <v>364</v>
      </c>
    </row>
    <row r="365" ht="12.75" customHeight="1">
      <c r="M365" s="345">
        <f>ROW()</f>
        <v>365</v>
      </c>
    </row>
    <row r="366" ht="12.75" customHeight="1">
      <c r="M366" s="345">
        <f>ROW()</f>
        <v>366</v>
      </c>
    </row>
    <row r="367" ht="12.75" customHeight="1">
      <c r="M367" s="345">
        <f>ROW()</f>
        <v>367</v>
      </c>
    </row>
    <row r="368" ht="12.75" customHeight="1">
      <c r="M368" s="345">
        <f>ROW()</f>
        <v>368</v>
      </c>
    </row>
    <row r="369" ht="12.75" customHeight="1">
      <c r="M369" s="345">
        <f>ROW()</f>
        <v>369</v>
      </c>
    </row>
    <row r="370" ht="12.75" customHeight="1">
      <c r="M370" s="345">
        <f>ROW()</f>
        <v>370</v>
      </c>
    </row>
    <row r="371" ht="12.75" customHeight="1">
      <c r="M371" s="345">
        <f>ROW()</f>
        <v>371</v>
      </c>
    </row>
    <row r="372" ht="12.75" customHeight="1">
      <c r="M372" s="345">
        <f>ROW()</f>
        <v>372</v>
      </c>
    </row>
    <row r="373" ht="12.75" customHeight="1">
      <c r="M373" s="345">
        <f>ROW()</f>
        <v>373</v>
      </c>
    </row>
    <row r="374" ht="12.75" customHeight="1">
      <c r="M374" s="345">
        <f>ROW()</f>
        <v>374</v>
      </c>
    </row>
    <row r="375" ht="12.75" customHeight="1">
      <c r="M375" s="345">
        <f>ROW()</f>
        <v>375</v>
      </c>
    </row>
    <row r="376" ht="12.75" customHeight="1">
      <c r="M376" s="345">
        <f>ROW()</f>
        <v>376</v>
      </c>
    </row>
    <row r="377" ht="12.75" customHeight="1">
      <c r="M377" s="345">
        <f>ROW()</f>
        <v>377</v>
      </c>
    </row>
    <row r="378" ht="12.75" customHeight="1">
      <c r="M378" s="345">
        <f>ROW()</f>
        <v>378</v>
      </c>
    </row>
    <row r="379" ht="12.75" customHeight="1">
      <c r="M379" s="345">
        <f>ROW()</f>
        <v>379</v>
      </c>
    </row>
    <row r="380" ht="12.75" customHeight="1">
      <c r="M380" s="345">
        <f>ROW()</f>
        <v>380</v>
      </c>
    </row>
    <row r="381" ht="12.75" customHeight="1">
      <c r="M381" s="345">
        <f>ROW()</f>
        <v>381</v>
      </c>
    </row>
    <row r="382" ht="12.75" customHeight="1">
      <c r="M382" s="345">
        <f>ROW()</f>
        <v>382</v>
      </c>
    </row>
    <row r="383" ht="12.75" customHeight="1">
      <c r="M383" s="345">
        <f>ROW()</f>
        <v>383</v>
      </c>
    </row>
    <row r="384" ht="12.75" customHeight="1">
      <c r="M384" s="345">
        <f>ROW()</f>
        <v>384</v>
      </c>
    </row>
    <row r="385" ht="12.75" customHeight="1">
      <c r="M385" s="345">
        <f>ROW()</f>
        <v>385</v>
      </c>
    </row>
    <row r="386" ht="12.75" customHeight="1">
      <c r="M386" s="345">
        <f>ROW()</f>
        <v>386</v>
      </c>
    </row>
    <row r="387" ht="12.75" customHeight="1">
      <c r="M387" s="345">
        <f>ROW()</f>
        <v>387</v>
      </c>
    </row>
    <row r="388" ht="12.75" customHeight="1">
      <c r="M388" s="345">
        <f>ROW()</f>
        <v>388</v>
      </c>
    </row>
    <row r="389" ht="12.75" customHeight="1">
      <c r="M389" s="345">
        <f>ROW()</f>
        <v>389</v>
      </c>
    </row>
    <row r="390" ht="12.75" customHeight="1">
      <c r="M390" s="345">
        <f>ROW()</f>
        <v>390</v>
      </c>
    </row>
    <row r="391" ht="12.75" customHeight="1">
      <c r="M391" s="345">
        <f>ROW()</f>
        <v>391</v>
      </c>
    </row>
    <row r="392" ht="12.75" customHeight="1">
      <c r="M392" s="345">
        <f>ROW()</f>
        <v>392</v>
      </c>
    </row>
    <row r="393" ht="12.75" customHeight="1">
      <c r="M393" s="345">
        <f>ROW()</f>
        <v>393</v>
      </c>
    </row>
    <row r="394" ht="12.75" customHeight="1">
      <c r="M394" s="345">
        <f>ROW()</f>
        <v>394</v>
      </c>
    </row>
    <row r="395" ht="12.75" customHeight="1">
      <c r="M395" s="345">
        <f>ROW()</f>
        <v>395</v>
      </c>
    </row>
    <row r="396" ht="12.75" customHeight="1">
      <c r="M396" s="345">
        <f>ROW()</f>
        <v>396</v>
      </c>
    </row>
    <row r="397" ht="12.75" customHeight="1">
      <c r="M397" s="345">
        <f>ROW()</f>
        <v>397</v>
      </c>
    </row>
    <row r="398" ht="12.75" customHeight="1">
      <c r="M398" s="345">
        <f>ROW()</f>
        <v>398</v>
      </c>
    </row>
    <row r="399" ht="12.75" customHeight="1">
      <c r="M399" s="345">
        <f>ROW()</f>
        <v>399</v>
      </c>
    </row>
    <row r="400" ht="12.75" customHeight="1">
      <c r="M400" s="345">
        <f>ROW()</f>
        <v>400</v>
      </c>
    </row>
    <row r="401" ht="12.75" customHeight="1">
      <c r="M401" s="345">
        <f>ROW()</f>
        <v>401</v>
      </c>
    </row>
    <row r="402" ht="12.75" customHeight="1">
      <c r="M402" s="345">
        <f>ROW()</f>
        <v>402</v>
      </c>
    </row>
    <row r="403" ht="12.75" customHeight="1">
      <c r="M403" s="345">
        <f>ROW()</f>
        <v>403</v>
      </c>
    </row>
    <row r="404" ht="12.75" customHeight="1">
      <c r="M404" s="345">
        <f>ROW()</f>
        <v>404</v>
      </c>
    </row>
    <row r="405" ht="12.75" customHeight="1">
      <c r="M405" s="345">
        <f>ROW()</f>
        <v>405</v>
      </c>
    </row>
    <row r="406" ht="12.75" customHeight="1">
      <c r="M406" s="345">
        <f>ROW()</f>
        <v>406</v>
      </c>
    </row>
    <row r="407" ht="12.75" customHeight="1">
      <c r="M407" s="345">
        <f>ROW()</f>
        <v>407</v>
      </c>
    </row>
    <row r="408" ht="12.75" customHeight="1">
      <c r="M408" s="345">
        <f>ROW()</f>
        <v>408</v>
      </c>
    </row>
    <row r="409" ht="12.75" customHeight="1">
      <c r="M409" s="345">
        <f>ROW()</f>
        <v>409</v>
      </c>
    </row>
    <row r="410" ht="12.75" customHeight="1">
      <c r="M410" s="345">
        <f>ROW()</f>
        <v>410</v>
      </c>
    </row>
    <row r="411" ht="12.75" customHeight="1">
      <c r="M411" s="345">
        <f>ROW()</f>
        <v>411</v>
      </c>
    </row>
    <row r="412" ht="12.75" customHeight="1">
      <c r="M412" s="345">
        <f>ROW()</f>
        <v>412</v>
      </c>
    </row>
    <row r="413" ht="12.75" customHeight="1">
      <c r="M413" s="345">
        <f>ROW()</f>
        <v>413</v>
      </c>
    </row>
    <row r="414" ht="12.75" customHeight="1">
      <c r="M414" s="345">
        <f>ROW()</f>
        <v>414</v>
      </c>
    </row>
    <row r="415" ht="12.75" customHeight="1">
      <c r="M415" s="345">
        <f>ROW()</f>
        <v>415</v>
      </c>
    </row>
    <row r="416" ht="12.75" customHeight="1">
      <c r="M416" s="345">
        <f>ROW()</f>
        <v>416</v>
      </c>
    </row>
    <row r="417" ht="12.75" customHeight="1">
      <c r="M417" s="345">
        <f>ROW()</f>
        <v>417</v>
      </c>
    </row>
    <row r="418" ht="12.75" customHeight="1">
      <c r="M418" s="345">
        <f>ROW()</f>
        <v>418</v>
      </c>
    </row>
    <row r="419" ht="12.75" customHeight="1">
      <c r="M419" s="345">
        <f>ROW()</f>
        <v>419</v>
      </c>
    </row>
    <row r="420" ht="12.75" customHeight="1">
      <c r="M420" s="345">
        <f>ROW()</f>
        <v>420</v>
      </c>
    </row>
    <row r="421" ht="12.75" customHeight="1">
      <c r="M421" s="345">
        <f>ROW()</f>
        <v>421</v>
      </c>
    </row>
    <row r="422" ht="12.75" customHeight="1">
      <c r="M422" s="345">
        <f>ROW()</f>
        <v>422</v>
      </c>
    </row>
    <row r="423" ht="12.75" customHeight="1">
      <c r="M423" s="345">
        <f>ROW()</f>
        <v>423</v>
      </c>
    </row>
    <row r="424" ht="12.75" customHeight="1">
      <c r="M424" s="345">
        <f>ROW()</f>
        <v>424</v>
      </c>
    </row>
    <row r="425" ht="12.75" customHeight="1">
      <c r="M425" s="345">
        <f>ROW()</f>
        <v>425</v>
      </c>
    </row>
    <row r="426" ht="12.75" customHeight="1">
      <c r="M426" s="345">
        <f>ROW()</f>
        <v>426</v>
      </c>
    </row>
    <row r="427" ht="12.75" customHeight="1">
      <c r="M427" s="345">
        <f>ROW()</f>
        <v>427</v>
      </c>
    </row>
    <row r="428" ht="12.75" customHeight="1">
      <c r="M428" s="345">
        <f>ROW()</f>
        <v>428</v>
      </c>
    </row>
    <row r="429" ht="12.75" customHeight="1">
      <c r="M429" s="345">
        <f>ROW()</f>
        <v>429</v>
      </c>
    </row>
    <row r="430" ht="12.75" customHeight="1">
      <c r="M430" s="345">
        <f>ROW()</f>
        <v>430</v>
      </c>
    </row>
    <row r="431" ht="12.75" customHeight="1">
      <c r="M431" s="345">
        <f>ROW()</f>
        <v>431</v>
      </c>
    </row>
    <row r="432" ht="12.75" customHeight="1">
      <c r="M432" s="345">
        <f>ROW()</f>
        <v>432</v>
      </c>
    </row>
    <row r="433" ht="12.75" customHeight="1">
      <c r="M433" s="345">
        <f>ROW()</f>
        <v>433</v>
      </c>
    </row>
    <row r="434" ht="12.75" customHeight="1">
      <c r="M434" s="345">
        <f>ROW()</f>
        <v>434</v>
      </c>
    </row>
    <row r="435" ht="12.75" customHeight="1">
      <c r="M435" s="345">
        <f>ROW()</f>
        <v>435</v>
      </c>
    </row>
    <row r="436" ht="12.75" customHeight="1">
      <c r="M436" s="345">
        <f>ROW()</f>
        <v>436</v>
      </c>
    </row>
    <row r="437" ht="12.75" customHeight="1">
      <c r="M437" s="345">
        <f>ROW()</f>
        <v>437</v>
      </c>
    </row>
    <row r="438" ht="12.75" customHeight="1">
      <c r="M438" s="345">
        <f>ROW()</f>
        <v>438</v>
      </c>
    </row>
    <row r="439" ht="12.75" customHeight="1">
      <c r="M439" s="345">
        <f>ROW()</f>
        <v>439</v>
      </c>
    </row>
    <row r="440" ht="12.75" customHeight="1">
      <c r="M440" s="345">
        <f>ROW()</f>
        <v>440</v>
      </c>
    </row>
    <row r="441" ht="12.75" customHeight="1">
      <c r="M441" s="345">
        <f>ROW()</f>
        <v>441</v>
      </c>
    </row>
    <row r="442" ht="12.75" customHeight="1">
      <c r="M442" s="345">
        <f>ROW()</f>
        <v>442</v>
      </c>
    </row>
    <row r="443" ht="12.75" customHeight="1">
      <c r="M443" s="345">
        <f>ROW()</f>
        <v>443</v>
      </c>
    </row>
    <row r="444" ht="12.75" customHeight="1">
      <c r="M444" s="345">
        <f>ROW()</f>
        <v>444</v>
      </c>
    </row>
    <row r="445" ht="12.75" customHeight="1">
      <c r="M445" s="345">
        <f>ROW()</f>
        <v>445</v>
      </c>
    </row>
    <row r="446" ht="12.75" customHeight="1">
      <c r="M446" s="345">
        <f>ROW()</f>
        <v>446</v>
      </c>
    </row>
    <row r="447" ht="12.75" customHeight="1">
      <c r="M447" s="345">
        <f>ROW()</f>
        <v>447</v>
      </c>
    </row>
    <row r="448" ht="12.75" customHeight="1">
      <c r="M448" s="345">
        <f>ROW()</f>
        <v>448</v>
      </c>
    </row>
    <row r="449" ht="12.75" customHeight="1">
      <c r="M449" s="345">
        <f>ROW()</f>
        <v>449</v>
      </c>
    </row>
    <row r="450" ht="12.75" customHeight="1">
      <c r="M450" s="345">
        <f>ROW()</f>
        <v>450</v>
      </c>
    </row>
    <row r="451" ht="12.75" customHeight="1">
      <c r="M451" s="345">
        <f>ROW()</f>
        <v>451</v>
      </c>
    </row>
    <row r="452" ht="12.75" customHeight="1">
      <c r="M452" s="345">
        <f>ROW()</f>
        <v>452</v>
      </c>
    </row>
    <row r="453" ht="12.75" customHeight="1">
      <c r="M453" s="345">
        <f>ROW()</f>
        <v>453</v>
      </c>
    </row>
    <row r="454" ht="12.75" customHeight="1">
      <c r="M454" s="345">
        <f>ROW()</f>
        <v>454</v>
      </c>
    </row>
    <row r="455" ht="12.75" customHeight="1">
      <c r="M455" s="345">
        <f>ROW()</f>
        <v>455</v>
      </c>
    </row>
    <row r="456" ht="12.75" customHeight="1">
      <c r="M456" s="345">
        <f>ROW()</f>
        <v>456</v>
      </c>
    </row>
    <row r="457" ht="12.75" customHeight="1">
      <c r="M457" s="345">
        <f>ROW()</f>
        <v>457</v>
      </c>
    </row>
    <row r="458" ht="12.75" customHeight="1">
      <c r="M458" s="345">
        <f>ROW()</f>
        <v>458</v>
      </c>
    </row>
    <row r="459" ht="12.75" customHeight="1">
      <c r="M459" s="345">
        <f>ROW()</f>
        <v>459</v>
      </c>
    </row>
    <row r="460" ht="12.75" customHeight="1">
      <c r="M460" s="345">
        <f>ROW()</f>
        <v>460</v>
      </c>
    </row>
    <row r="461" ht="12.75" customHeight="1">
      <c r="M461" s="345">
        <f>ROW()</f>
        <v>461</v>
      </c>
    </row>
    <row r="462" ht="12.75" customHeight="1">
      <c r="M462" s="345">
        <f>ROW()</f>
        <v>462</v>
      </c>
    </row>
    <row r="463" ht="12.75" customHeight="1">
      <c r="M463" s="345">
        <f>ROW()</f>
        <v>463</v>
      </c>
    </row>
    <row r="464" ht="12.75" customHeight="1">
      <c r="M464" s="345">
        <f>ROW()</f>
        <v>464</v>
      </c>
    </row>
    <row r="465" ht="12.75" customHeight="1">
      <c r="M465" s="345">
        <f>ROW()</f>
        <v>465</v>
      </c>
    </row>
    <row r="466" ht="12.75" customHeight="1">
      <c r="M466" s="345">
        <f>ROW()</f>
        <v>466</v>
      </c>
    </row>
    <row r="467" ht="12.75" customHeight="1">
      <c r="M467" s="345">
        <f>ROW()</f>
        <v>467</v>
      </c>
    </row>
    <row r="468" ht="12.75" customHeight="1">
      <c r="M468" s="345">
        <f>ROW()</f>
        <v>468</v>
      </c>
    </row>
    <row r="469" ht="12.75" customHeight="1">
      <c r="M469" s="345">
        <f>ROW()</f>
        <v>469</v>
      </c>
    </row>
    <row r="470" ht="12.75" customHeight="1">
      <c r="M470" s="345">
        <f>ROW()</f>
        <v>470</v>
      </c>
    </row>
    <row r="471" ht="12.75" customHeight="1">
      <c r="M471" s="345">
        <f>ROW()</f>
        <v>471</v>
      </c>
    </row>
    <row r="472" ht="12.75" customHeight="1">
      <c r="M472" s="345">
        <f>ROW()</f>
        <v>472</v>
      </c>
    </row>
    <row r="473" ht="12.75" customHeight="1">
      <c r="M473" s="345">
        <f>ROW()</f>
        <v>473</v>
      </c>
    </row>
    <row r="474" ht="12.75" customHeight="1">
      <c r="M474" s="345">
        <f>ROW()</f>
        <v>474</v>
      </c>
    </row>
    <row r="475" ht="12.75" customHeight="1">
      <c r="M475" s="345">
        <f>ROW()</f>
        <v>475</v>
      </c>
    </row>
    <row r="476" ht="12.75" customHeight="1">
      <c r="M476" s="345">
        <f>ROW()</f>
        <v>476</v>
      </c>
    </row>
    <row r="477" ht="12.75" customHeight="1">
      <c r="M477" s="345">
        <f>ROW()</f>
        <v>477</v>
      </c>
    </row>
    <row r="478" ht="12.75" customHeight="1">
      <c r="M478" s="345">
        <f>ROW()</f>
        <v>478</v>
      </c>
    </row>
    <row r="479" ht="12.75" customHeight="1">
      <c r="M479" s="345">
        <f>ROW()</f>
        <v>479</v>
      </c>
    </row>
    <row r="480" ht="12.75" customHeight="1">
      <c r="M480" s="345">
        <f>ROW()</f>
        <v>480</v>
      </c>
    </row>
    <row r="481" ht="12.75" customHeight="1">
      <c r="M481" s="345">
        <f>ROW()</f>
        <v>481</v>
      </c>
    </row>
    <row r="482" ht="12.75" customHeight="1">
      <c r="M482" s="345">
        <f>ROW()</f>
        <v>482</v>
      </c>
    </row>
    <row r="483" ht="12.75" customHeight="1">
      <c r="M483" s="345">
        <f>ROW()</f>
        <v>483</v>
      </c>
    </row>
    <row r="484" ht="12.75" customHeight="1">
      <c r="M484" s="345">
        <f>ROW()</f>
        <v>484</v>
      </c>
    </row>
    <row r="485" ht="12.75" customHeight="1">
      <c r="M485" s="345">
        <f>ROW()</f>
        <v>485</v>
      </c>
    </row>
    <row r="486" ht="12.75" customHeight="1">
      <c r="M486" s="345">
        <f>ROW()</f>
        <v>486</v>
      </c>
    </row>
    <row r="487" ht="12.75" customHeight="1">
      <c r="M487" s="345">
        <f>ROW()</f>
        <v>487</v>
      </c>
    </row>
    <row r="488" ht="12.75" customHeight="1">
      <c r="M488" s="345">
        <f>ROW()</f>
        <v>488</v>
      </c>
    </row>
    <row r="489" ht="12.75" customHeight="1">
      <c r="M489" s="345">
        <f>ROW()</f>
        <v>489</v>
      </c>
    </row>
    <row r="490" ht="12.75" customHeight="1">
      <c r="M490" s="345">
        <f>ROW()</f>
        <v>490</v>
      </c>
    </row>
    <row r="491" ht="12.75" customHeight="1">
      <c r="M491" s="345">
        <f>ROW()</f>
        <v>491</v>
      </c>
    </row>
    <row r="492" ht="12.75" customHeight="1">
      <c r="M492" s="345">
        <f>ROW()</f>
        <v>492</v>
      </c>
    </row>
    <row r="493" ht="12.75" customHeight="1">
      <c r="M493" s="345">
        <f>ROW()</f>
        <v>493</v>
      </c>
    </row>
    <row r="494" ht="12.75" customHeight="1">
      <c r="M494" s="345">
        <f>ROW()</f>
        <v>494</v>
      </c>
    </row>
    <row r="495" ht="12.75" customHeight="1">
      <c r="M495" s="345">
        <f>ROW()</f>
        <v>495</v>
      </c>
    </row>
    <row r="496" ht="12.75" customHeight="1">
      <c r="M496" s="345">
        <f>ROW()</f>
        <v>496</v>
      </c>
    </row>
    <row r="497" ht="12.75" customHeight="1">
      <c r="M497" s="345">
        <f>ROW()</f>
        <v>497</v>
      </c>
    </row>
    <row r="498" ht="12.75" customHeight="1">
      <c r="M498" s="345">
        <f>ROW()</f>
        <v>498</v>
      </c>
    </row>
    <row r="499" ht="12.75" customHeight="1">
      <c r="M499" s="345">
        <f>ROW()</f>
        <v>499</v>
      </c>
    </row>
    <row r="500" ht="12.75" customHeight="1">
      <c r="M500" s="345">
        <f>ROW()</f>
        <v>500</v>
      </c>
    </row>
    <row r="501" ht="12.75" customHeight="1">
      <c r="M501" s="345">
        <f>ROW()</f>
        <v>501</v>
      </c>
    </row>
    <row r="502" ht="12.75" customHeight="1">
      <c r="M502" s="345">
        <f>ROW()</f>
        <v>502</v>
      </c>
    </row>
    <row r="503" ht="12.75" customHeight="1">
      <c r="M503" s="345">
        <f>ROW()</f>
        <v>503</v>
      </c>
    </row>
    <row r="504" ht="12.75" customHeight="1">
      <c r="M504" s="345">
        <f>ROW()</f>
        <v>504</v>
      </c>
    </row>
    <row r="505" ht="12.75" customHeight="1">
      <c r="M505" s="345">
        <f>ROW()</f>
        <v>505</v>
      </c>
    </row>
    <row r="506" ht="12.75" customHeight="1">
      <c r="M506" s="345">
        <f>ROW()</f>
        <v>506</v>
      </c>
    </row>
    <row r="507" ht="12.75" customHeight="1">
      <c r="M507" s="345">
        <f>ROW()</f>
        <v>507</v>
      </c>
    </row>
    <row r="508" ht="12.75" customHeight="1">
      <c r="M508" s="345">
        <f>ROW()</f>
        <v>508</v>
      </c>
    </row>
    <row r="509" ht="12.75" customHeight="1">
      <c r="M509" s="345">
        <f>ROW()</f>
        <v>509</v>
      </c>
    </row>
    <row r="510" ht="12.75" customHeight="1">
      <c r="M510" s="345">
        <f>ROW()</f>
        <v>510</v>
      </c>
    </row>
    <row r="511" ht="12.75" customHeight="1">
      <c r="M511" s="345">
        <f>ROW()</f>
        <v>511</v>
      </c>
    </row>
    <row r="512" ht="12.75" customHeight="1">
      <c r="M512" s="345">
        <f>ROW()</f>
        <v>512</v>
      </c>
    </row>
    <row r="513" ht="12.75" customHeight="1">
      <c r="M513" s="345">
        <f>ROW()</f>
        <v>513</v>
      </c>
    </row>
    <row r="514" ht="12.75" customHeight="1">
      <c r="M514" s="345">
        <f>ROW()</f>
        <v>514</v>
      </c>
    </row>
    <row r="515" ht="12.75" customHeight="1">
      <c r="M515" s="345">
        <f>ROW()</f>
        <v>515</v>
      </c>
    </row>
    <row r="516" ht="12.75" customHeight="1">
      <c r="M516" s="345">
        <f>ROW()</f>
        <v>516</v>
      </c>
    </row>
    <row r="517" ht="12.75" customHeight="1">
      <c r="M517" s="345">
        <f>ROW()</f>
        <v>517</v>
      </c>
    </row>
    <row r="518" ht="12.75" customHeight="1">
      <c r="M518" s="345">
        <f>ROW()</f>
        <v>518</v>
      </c>
    </row>
    <row r="519" ht="12.75" customHeight="1">
      <c r="M519" s="345">
        <f>ROW()</f>
        <v>519</v>
      </c>
    </row>
    <row r="520" ht="12.75" customHeight="1">
      <c r="M520" s="345">
        <f>ROW()</f>
        <v>520</v>
      </c>
    </row>
    <row r="521" ht="12.75" customHeight="1">
      <c r="M521" s="345">
        <f>ROW()</f>
        <v>521</v>
      </c>
    </row>
    <row r="522" ht="12.75" customHeight="1">
      <c r="M522" s="345">
        <f>ROW()</f>
        <v>522</v>
      </c>
    </row>
    <row r="523" ht="12.75" customHeight="1">
      <c r="M523" s="345">
        <f>ROW()</f>
        <v>523</v>
      </c>
    </row>
    <row r="524" ht="12.75" customHeight="1">
      <c r="M524" s="345">
        <f>ROW()</f>
        <v>524</v>
      </c>
    </row>
    <row r="525" ht="12.75" customHeight="1">
      <c r="M525" s="345">
        <f>ROW()</f>
        <v>525</v>
      </c>
    </row>
    <row r="526" ht="12.75" customHeight="1">
      <c r="M526" s="345">
        <f>ROW()</f>
        <v>526</v>
      </c>
    </row>
    <row r="527" ht="12.75" customHeight="1">
      <c r="M527" s="345">
        <f>ROW()</f>
        <v>527</v>
      </c>
    </row>
    <row r="528" ht="12.75" customHeight="1">
      <c r="M528" s="345">
        <f>ROW()</f>
        <v>528</v>
      </c>
    </row>
    <row r="529" ht="12.75" customHeight="1">
      <c r="M529" s="345">
        <f>ROW()</f>
        <v>529</v>
      </c>
    </row>
    <row r="530" ht="12.75" customHeight="1">
      <c r="M530" s="345">
        <f>ROW()</f>
        <v>530</v>
      </c>
    </row>
    <row r="531" ht="12.75" customHeight="1">
      <c r="M531" s="345">
        <f>ROW()</f>
        <v>531</v>
      </c>
    </row>
    <row r="532" ht="12.75" customHeight="1">
      <c r="M532" s="345">
        <f>ROW()</f>
        <v>532</v>
      </c>
    </row>
    <row r="533" ht="12.75" customHeight="1">
      <c r="M533" s="345">
        <f>ROW()</f>
        <v>533</v>
      </c>
    </row>
    <row r="534" ht="12.75" customHeight="1">
      <c r="M534" s="345">
        <f>ROW()</f>
        <v>534</v>
      </c>
    </row>
    <row r="535" ht="12.75" customHeight="1">
      <c r="M535" s="345">
        <f>ROW()</f>
        <v>535</v>
      </c>
    </row>
    <row r="536" ht="12.75" customHeight="1">
      <c r="M536" s="345">
        <f>ROW()</f>
        <v>536</v>
      </c>
    </row>
    <row r="537" ht="12.75" customHeight="1">
      <c r="M537" s="345">
        <f>ROW()</f>
        <v>537</v>
      </c>
    </row>
    <row r="538" ht="12.75" customHeight="1">
      <c r="M538" s="345">
        <f>ROW()</f>
        <v>538</v>
      </c>
    </row>
    <row r="539" ht="12.75" customHeight="1">
      <c r="M539" s="345">
        <f>ROW()</f>
        <v>539</v>
      </c>
    </row>
    <row r="540" ht="12.75" customHeight="1">
      <c r="M540" s="345">
        <f>ROW()</f>
        <v>540</v>
      </c>
    </row>
    <row r="541" ht="12.75" customHeight="1">
      <c r="M541" s="345">
        <f>ROW()</f>
        <v>541</v>
      </c>
    </row>
    <row r="542" ht="12.75" customHeight="1">
      <c r="M542" s="345">
        <f>ROW()</f>
        <v>542</v>
      </c>
    </row>
    <row r="543" ht="12.75" customHeight="1">
      <c r="M543" s="345">
        <f>ROW()</f>
        <v>543</v>
      </c>
    </row>
    <row r="544" ht="12.75" customHeight="1">
      <c r="M544" s="345">
        <f>ROW()</f>
        <v>544</v>
      </c>
    </row>
    <row r="545" ht="12.75" customHeight="1">
      <c r="M545" s="345">
        <f>ROW()</f>
        <v>545</v>
      </c>
    </row>
    <row r="546" ht="12.75" customHeight="1">
      <c r="M546" s="345">
        <f>ROW()</f>
        <v>546</v>
      </c>
    </row>
    <row r="547" ht="12.75" customHeight="1">
      <c r="M547" s="345">
        <f>ROW()</f>
        <v>547</v>
      </c>
    </row>
    <row r="548" ht="12.75" customHeight="1">
      <c r="M548" s="345">
        <f>ROW()</f>
        <v>548</v>
      </c>
    </row>
    <row r="549" ht="12.75" customHeight="1">
      <c r="M549" s="345">
        <f>ROW()</f>
        <v>549</v>
      </c>
    </row>
    <row r="550" ht="12.75" customHeight="1">
      <c r="M550" s="345">
        <f>ROW()</f>
        <v>550</v>
      </c>
    </row>
    <row r="551" ht="12.75" customHeight="1">
      <c r="M551" s="345">
        <f>ROW()</f>
        <v>551</v>
      </c>
    </row>
    <row r="552" ht="12.75" customHeight="1">
      <c r="M552" s="345">
        <f>ROW()</f>
        <v>552</v>
      </c>
    </row>
    <row r="553" ht="12.75" customHeight="1">
      <c r="M553" s="345">
        <f>ROW()</f>
        <v>553</v>
      </c>
    </row>
    <row r="554" ht="12.75" customHeight="1">
      <c r="M554" s="345">
        <f>ROW()</f>
        <v>554</v>
      </c>
    </row>
    <row r="555" ht="12.75" customHeight="1">
      <c r="M555" s="345">
        <f>ROW()</f>
        <v>555</v>
      </c>
    </row>
    <row r="556" ht="12.75" customHeight="1">
      <c r="M556" s="345">
        <f>ROW()</f>
        <v>556</v>
      </c>
    </row>
    <row r="557" ht="12.75" customHeight="1">
      <c r="M557" s="345">
        <f>ROW()</f>
        <v>557</v>
      </c>
    </row>
    <row r="558" ht="12.75" customHeight="1">
      <c r="M558" s="345">
        <f>ROW()</f>
        <v>558</v>
      </c>
    </row>
    <row r="559" ht="12.75" customHeight="1">
      <c r="M559" s="345">
        <f>ROW()</f>
        <v>559</v>
      </c>
    </row>
    <row r="560" ht="12.75" customHeight="1">
      <c r="M560" s="345">
        <f>ROW()</f>
        <v>560</v>
      </c>
    </row>
    <row r="561" ht="12.75" customHeight="1">
      <c r="M561" s="345">
        <f>ROW()</f>
        <v>561</v>
      </c>
    </row>
    <row r="562" ht="12.75" customHeight="1">
      <c r="M562" s="345">
        <f>ROW()</f>
        <v>562</v>
      </c>
    </row>
    <row r="563" ht="12.75" customHeight="1">
      <c r="M563" s="345">
        <f>ROW()</f>
        <v>563</v>
      </c>
    </row>
    <row r="564" ht="12.75" customHeight="1">
      <c r="M564" s="345">
        <f>ROW()</f>
        <v>564</v>
      </c>
    </row>
    <row r="565" ht="12.75" customHeight="1">
      <c r="M565" s="345">
        <f>ROW()</f>
        <v>565</v>
      </c>
    </row>
    <row r="566" ht="12.75" customHeight="1">
      <c r="M566" s="345">
        <f>ROW()</f>
        <v>566</v>
      </c>
    </row>
    <row r="567" ht="12.75" customHeight="1">
      <c r="M567" s="345">
        <f>ROW()</f>
        <v>567</v>
      </c>
    </row>
    <row r="568" ht="12.75" customHeight="1">
      <c r="M568" s="345">
        <f>ROW()</f>
        <v>568</v>
      </c>
    </row>
    <row r="569" ht="12.75" customHeight="1">
      <c r="M569" s="345">
        <f>ROW()</f>
        <v>569</v>
      </c>
    </row>
    <row r="570" ht="12.75" customHeight="1">
      <c r="M570" s="345">
        <f>ROW()</f>
        <v>570</v>
      </c>
    </row>
    <row r="571" ht="12.75" customHeight="1">
      <c r="M571" s="345">
        <f>ROW()</f>
        <v>571</v>
      </c>
    </row>
    <row r="572" ht="12.75" customHeight="1">
      <c r="M572" s="345">
        <f>ROW()</f>
        <v>572</v>
      </c>
    </row>
    <row r="573" ht="12.75" customHeight="1">
      <c r="M573" s="345">
        <f>ROW()</f>
        <v>573</v>
      </c>
    </row>
    <row r="574" ht="12.75" customHeight="1">
      <c r="M574" s="345">
        <f>ROW()</f>
        <v>574</v>
      </c>
    </row>
    <row r="575" ht="12.75" customHeight="1">
      <c r="M575" s="345">
        <f>ROW()</f>
        <v>575</v>
      </c>
    </row>
    <row r="576" ht="12.75" customHeight="1">
      <c r="M576" s="345">
        <f>ROW()</f>
        <v>576</v>
      </c>
    </row>
    <row r="577" ht="12.75" customHeight="1">
      <c r="M577" s="345">
        <f>ROW()</f>
        <v>577</v>
      </c>
    </row>
    <row r="578" ht="12.75" customHeight="1">
      <c r="M578" s="345">
        <f>ROW()</f>
        <v>578</v>
      </c>
    </row>
    <row r="579" ht="12.75" customHeight="1">
      <c r="M579" s="345">
        <f>ROW()</f>
        <v>579</v>
      </c>
    </row>
    <row r="580" ht="12.75" customHeight="1">
      <c r="M580" s="345">
        <f>ROW()</f>
        <v>580</v>
      </c>
    </row>
    <row r="581" ht="12.75" customHeight="1">
      <c r="M581" s="345">
        <f>ROW()</f>
        <v>581</v>
      </c>
    </row>
    <row r="582" ht="12.75" customHeight="1">
      <c r="M582" s="345">
        <f>ROW()</f>
        <v>582</v>
      </c>
    </row>
    <row r="583" ht="12.75" customHeight="1">
      <c r="M583" s="345">
        <f>ROW()</f>
        <v>583</v>
      </c>
    </row>
    <row r="584" ht="12.75" customHeight="1">
      <c r="M584" s="345">
        <f>ROW()</f>
        <v>584</v>
      </c>
    </row>
    <row r="585" ht="12.75" customHeight="1">
      <c r="M585" s="345">
        <f>ROW()</f>
        <v>585</v>
      </c>
    </row>
    <row r="586" ht="12.75" customHeight="1">
      <c r="M586" s="345">
        <f>ROW()</f>
        <v>586</v>
      </c>
    </row>
    <row r="587" ht="12.75" customHeight="1">
      <c r="M587" s="345">
        <f>ROW()</f>
        <v>587</v>
      </c>
    </row>
    <row r="588" ht="12.75" customHeight="1">
      <c r="M588" s="345">
        <f>ROW()</f>
        <v>588</v>
      </c>
    </row>
    <row r="589" ht="12.75" customHeight="1">
      <c r="M589" s="345">
        <f>ROW()</f>
        <v>589</v>
      </c>
    </row>
    <row r="590" ht="12.75" customHeight="1">
      <c r="M590" s="345">
        <f>ROW()</f>
        <v>590</v>
      </c>
    </row>
    <row r="591" ht="12.75" customHeight="1">
      <c r="M591" s="345">
        <f>ROW()</f>
        <v>591</v>
      </c>
    </row>
    <row r="592" ht="12.75" customHeight="1">
      <c r="M592" s="345">
        <f>ROW()</f>
        <v>592</v>
      </c>
    </row>
    <row r="593" ht="12.75" customHeight="1">
      <c r="M593" s="345">
        <f>ROW()</f>
        <v>593</v>
      </c>
    </row>
    <row r="594" ht="12.75" customHeight="1">
      <c r="M594" s="345">
        <f>ROW()</f>
        <v>594</v>
      </c>
    </row>
    <row r="595" ht="12.75" customHeight="1">
      <c r="M595" s="345">
        <f>ROW()</f>
        <v>595</v>
      </c>
    </row>
    <row r="596" ht="12.75" customHeight="1">
      <c r="M596" s="345">
        <f>ROW()</f>
        <v>596</v>
      </c>
    </row>
    <row r="597" ht="12.75" customHeight="1">
      <c r="M597" s="345">
        <f>ROW()</f>
        <v>597</v>
      </c>
    </row>
    <row r="598" ht="12.75" customHeight="1">
      <c r="M598" s="345">
        <f>ROW()</f>
        <v>598</v>
      </c>
    </row>
    <row r="599" ht="12.75" customHeight="1">
      <c r="M599" s="345">
        <f>ROW()</f>
        <v>599</v>
      </c>
    </row>
    <row r="600" ht="12.75" customHeight="1">
      <c r="M600" s="345">
        <f>ROW()</f>
        <v>600</v>
      </c>
    </row>
    <row r="601" ht="12.75" customHeight="1">
      <c r="M601" s="345">
        <f>ROW()</f>
        <v>601</v>
      </c>
    </row>
    <row r="602" ht="12.75" customHeight="1">
      <c r="M602" s="345">
        <f>ROW()</f>
        <v>602</v>
      </c>
    </row>
    <row r="603" ht="12.75" customHeight="1">
      <c r="M603" s="345">
        <f>ROW()</f>
        <v>603</v>
      </c>
    </row>
    <row r="604" ht="12.75" customHeight="1">
      <c r="M604" s="345">
        <f>ROW()</f>
        <v>604</v>
      </c>
    </row>
    <row r="605" ht="12.75" customHeight="1">
      <c r="M605" s="345">
        <f>ROW()</f>
        <v>605</v>
      </c>
    </row>
    <row r="606" ht="12.75" customHeight="1">
      <c r="M606" s="345">
        <f>ROW()</f>
        <v>606</v>
      </c>
    </row>
    <row r="607" ht="12.75" customHeight="1">
      <c r="M607" s="345">
        <f>ROW()</f>
        <v>607</v>
      </c>
    </row>
    <row r="608" ht="12.75" customHeight="1">
      <c r="M608" s="345">
        <f>ROW()</f>
        <v>608</v>
      </c>
    </row>
    <row r="609" ht="12.75" customHeight="1">
      <c r="M609" s="345">
        <f>ROW()</f>
        <v>609</v>
      </c>
    </row>
    <row r="610" ht="12.75" customHeight="1">
      <c r="M610" s="345">
        <f>ROW()</f>
        <v>610</v>
      </c>
    </row>
    <row r="611" ht="12.75" customHeight="1">
      <c r="M611" s="345">
        <f>ROW()</f>
        <v>611</v>
      </c>
    </row>
    <row r="612" ht="12.75" customHeight="1">
      <c r="M612" s="345">
        <f>ROW()</f>
        <v>612</v>
      </c>
    </row>
    <row r="613" ht="12.75" customHeight="1">
      <c r="M613" s="345">
        <f>ROW()</f>
        <v>613</v>
      </c>
    </row>
    <row r="614" ht="12.75" customHeight="1">
      <c r="M614" s="345">
        <f>ROW()</f>
        <v>614</v>
      </c>
    </row>
    <row r="615" ht="12.75" customHeight="1">
      <c r="M615" s="345">
        <f>ROW()</f>
        <v>615</v>
      </c>
    </row>
    <row r="616" ht="12.75" customHeight="1">
      <c r="M616" s="345">
        <f>ROW()</f>
        <v>616</v>
      </c>
    </row>
    <row r="617" ht="12.75" customHeight="1">
      <c r="M617" s="345">
        <f>ROW()</f>
        <v>617</v>
      </c>
    </row>
    <row r="618" ht="12.75" customHeight="1">
      <c r="M618" s="345">
        <f>ROW()</f>
        <v>618</v>
      </c>
    </row>
    <row r="619" ht="12.75" customHeight="1">
      <c r="M619" s="345">
        <f>ROW()</f>
        <v>619</v>
      </c>
    </row>
    <row r="620" ht="12.75" customHeight="1">
      <c r="M620" s="345">
        <f>ROW()</f>
        <v>620</v>
      </c>
    </row>
    <row r="621" ht="12.75" customHeight="1">
      <c r="M621" s="345">
        <f>ROW()</f>
        <v>621</v>
      </c>
    </row>
    <row r="622" ht="12.75" customHeight="1">
      <c r="M622" s="345">
        <f>ROW()</f>
        <v>622</v>
      </c>
    </row>
    <row r="623" ht="12.75" customHeight="1">
      <c r="M623" s="345">
        <f>ROW()</f>
        <v>623</v>
      </c>
    </row>
    <row r="624" ht="12.75" customHeight="1">
      <c r="M624" s="345">
        <f>ROW()</f>
        <v>624</v>
      </c>
    </row>
    <row r="625" ht="12.75" customHeight="1">
      <c r="M625" s="345">
        <f>ROW()</f>
        <v>625</v>
      </c>
    </row>
    <row r="626" ht="12.75" customHeight="1">
      <c r="M626" s="345">
        <f>ROW()</f>
        <v>626</v>
      </c>
    </row>
    <row r="627" ht="12.75" customHeight="1">
      <c r="M627" s="345">
        <f>ROW()</f>
        <v>627</v>
      </c>
    </row>
    <row r="628" ht="12.75" customHeight="1">
      <c r="M628" s="345">
        <f>ROW()</f>
        <v>628</v>
      </c>
    </row>
    <row r="629" ht="12.75" customHeight="1">
      <c r="M629" s="345">
        <f>ROW()</f>
        <v>629</v>
      </c>
    </row>
    <row r="630" ht="12.75" customHeight="1">
      <c r="M630" s="345">
        <f>ROW()</f>
        <v>630</v>
      </c>
    </row>
    <row r="631" ht="12.75" customHeight="1">
      <c r="M631" s="345">
        <f>ROW()</f>
        <v>631</v>
      </c>
    </row>
    <row r="632" ht="12.75" customHeight="1">
      <c r="M632" s="345">
        <f>ROW()</f>
        <v>632</v>
      </c>
    </row>
    <row r="633" ht="12.75" customHeight="1">
      <c r="M633" s="345">
        <f>ROW()</f>
        <v>633</v>
      </c>
    </row>
    <row r="634" ht="12.75" customHeight="1">
      <c r="M634" s="345">
        <f>ROW()</f>
        <v>634</v>
      </c>
    </row>
    <row r="635" ht="12.75" customHeight="1">
      <c r="M635" s="345">
        <f>ROW()</f>
        <v>635</v>
      </c>
    </row>
    <row r="636" ht="12.75" customHeight="1">
      <c r="M636" s="345">
        <f>ROW()</f>
        <v>636</v>
      </c>
    </row>
    <row r="637" ht="12.75" customHeight="1">
      <c r="M637" s="345">
        <f>ROW()</f>
        <v>637</v>
      </c>
    </row>
    <row r="638" ht="12.75" customHeight="1">
      <c r="M638" s="345">
        <f>ROW()</f>
        <v>638</v>
      </c>
    </row>
    <row r="639" ht="12.75" customHeight="1">
      <c r="M639" s="345">
        <f>ROW()</f>
        <v>639</v>
      </c>
    </row>
    <row r="640" ht="12.75" customHeight="1">
      <c r="M640" s="345">
        <f>ROW()</f>
        <v>640</v>
      </c>
    </row>
    <row r="641" ht="12.75" customHeight="1">
      <c r="M641" s="345">
        <f>ROW()</f>
        <v>641</v>
      </c>
    </row>
    <row r="642" ht="12.75" customHeight="1">
      <c r="M642" s="345">
        <f>ROW()</f>
        <v>642</v>
      </c>
    </row>
    <row r="643" ht="12.75" customHeight="1">
      <c r="M643" s="345">
        <f>ROW()</f>
        <v>643</v>
      </c>
    </row>
    <row r="644" ht="12.75" customHeight="1">
      <c r="M644" s="345">
        <f>ROW()</f>
        <v>644</v>
      </c>
    </row>
    <row r="645" ht="12.75" customHeight="1">
      <c r="M645" s="345">
        <f>ROW()</f>
        <v>645</v>
      </c>
    </row>
    <row r="646" ht="12.75" customHeight="1">
      <c r="M646" s="345">
        <f>ROW()</f>
        <v>646</v>
      </c>
    </row>
    <row r="647" ht="12.75" customHeight="1">
      <c r="M647" s="345">
        <f>ROW()</f>
        <v>647</v>
      </c>
    </row>
    <row r="648" ht="12.75" customHeight="1">
      <c r="M648" s="345">
        <f>ROW()</f>
        <v>648</v>
      </c>
    </row>
    <row r="649" ht="12.75" customHeight="1">
      <c r="M649" s="345">
        <f>ROW()</f>
        <v>649</v>
      </c>
    </row>
    <row r="650" ht="12.75" customHeight="1">
      <c r="M650" s="345">
        <f>ROW()</f>
        <v>650</v>
      </c>
    </row>
    <row r="651" ht="12.75" customHeight="1">
      <c r="M651" s="345">
        <f>ROW()</f>
        <v>651</v>
      </c>
    </row>
    <row r="652" ht="12.75" customHeight="1">
      <c r="M652" s="345">
        <f>ROW()</f>
        <v>652</v>
      </c>
    </row>
    <row r="653" ht="12.75" customHeight="1">
      <c r="M653" s="345">
        <f>ROW()</f>
        <v>653</v>
      </c>
    </row>
    <row r="654" ht="12.75" customHeight="1">
      <c r="M654" s="345">
        <f>ROW()</f>
        <v>654</v>
      </c>
    </row>
    <row r="655" ht="12.75" customHeight="1">
      <c r="M655" s="345">
        <f>ROW()</f>
        <v>655</v>
      </c>
    </row>
    <row r="656" ht="12.75" customHeight="1">
      <c r="M656" s="345">
        <f>ROW()</f>
        <v>656</v>
      </c>
    </row>
    <row r="657" ht="12.75" customHeight="1">
      <c r="M657" s="345">
        <f>ROW()</f>
        <v>657</v>
      </c>
    </row>
    <row r="658" ht="12.75" customHeight="1">
      <c r="M658" s="345">
        <f>ROW()</f>
        <v>658</v>
      </c>
    </row>
    <row r="659" ht="12.75" customHeight="1">
      <c r="M659" s="345">
        <f>ROW()</f>
        <v>659</v>
      </c>
    </row>
    <row r="660" ht="12.75" customHeight="1">
      <c r="M660" s="345">
        <f>ROW()</f>
        <v>660</v>
      </c>
    </row>
    <row r="661" ht="12.75" customHeight="1">
      <c r="M661" s="345">
        <f>ROW()</f>
        <v>661</v>
      </c>
    </row>
    <row r="662" ht="12.75" customHeight="1">
      <c r="M662" s="345">
        <f>ROW()</f>
        <v>662</v>
      </c>
    </row>
    <row r="663" ht="12.75" customHeight="1">
      <c r="M663" s="345">
        <f>ROW()</f>
        <v>663</v>
      </c>
    </row>
    <row r="664" ht="12.75" customHeight="1">
      <c r="M664" s="345">
        <f>ROW()</f>
        <v>664</v>
      </c>
    </row>
    <row r="665" ht="12.75" customHeight="1">
      <c r="M665" s="345">
        <f>ROW()</f>
        <v>665</v>
      </c>
    </row>
    <row r="666" ht="12.75" customHeight="1">
      <c r="M666" s="345">
        <f>ROW()</f>
        <v>666</v>
      </c>
    </row>
    <row r="667" ht="12.75" customHeight="1">
      <c r="M667" s="345">
        <f>ROW()</f>
        <v>667</v>
      </c>
    </row>
    <row r="668" ht="12.75" customHeight="1">
      <c r="M668" s="345">
        <f>ROW()</f>
        <v>668</v>
      </c>
    </row>
    <row r="669" ht="12.75" customHeight="1">
      <c r="M669" s="345">
        <f>ROW()</f>
        <v>669</v>
      </c>
    </row>
    <row r="670" ht="12.75" customHeight="1">
      <c r="M670" s="345">
        <f>ROW()</f>
        <v>670</v>
      </c>
    </row>
    <row r="671" ht="12.75" customHeight="1">
      <c r="M671" s="345">
        <f>ROW()</f>
        <v>671</v>
      </c>
    </row>
    <row r="672" ht="12.75" customHeight="1">
      <c r="M672" s="345">
        <f>ROW()</f>
        <v>672</v>
      </c>
    </row>
    <row r="673" ht="12.75" customHeight="1">
      <c r="M673" s="345">
        <f>ROW()</f>
        <v>673</v>
      </c>
    </row>
    <row r="674" ht="12.75" customHeight="1">
      <c r="M674" s="345">
        <f>ROW()</f>
        <v>674</v>
      </c>
    </row>
    <row r="675" ht="12.75" customHeight="1">
      <c r="M675" s="345">
        <f>ROW()</f>
        <v>675</v>
      </c>
    </row>
    <row r="676" ht="12.75" customHeight="1">
      <c r="M676" s="345">
        <f>ROW()</f>
        <v>676</v>
      </c>
    </row>
    <row r="677" ht="12.75" customHeight="1">
      <c r="M677" s="345">
        <f>ROW()</f>
        <v>677</v>
      </c>
    </row>
    <row r="678" ht="12.75" customHeight="1">
      <c r="M678" s="345">
        <f>ROW()</f>
        <v>678</v>
      </c>
    </row>
    <row r="679" ht="12.75" customHeight="1">
      <c r="M679" s="345">
        <f>ROW()</f>
        <v>679</v>
      </c>
    </row>
    <row r="680" ht="12.75" customHeight="1">
      <c r="M680" s="345">
        <f>ROW()</f>
        <v>680</v>
      </c>
    </row>
    <row r="681" ht="12.75" customHeight="1">
      <c r="M681" s="345">
        <f>ROW()</f>
        <v>681</v>
      </c>
    </row>
    <row r="682" ht="12.75" customHeight="1">
      <c r="M682" s="345">
        <f>ROW()</f>
        <v>682</v>
      </c>
    </row>
    <row r="683" ht="12.75" customHeight="1">
      <c r="M683" s="345">
        <f>ROW()</f>
        <v>683</v>
      </c>
    </row>
    <row r="684" ht="12.75" customHeight="1">
      <c r="M684" s="345">
        <f>ROW()</f>
        <v>684</v>
      </c>
    </row>
    <row r="685" ht="12.75" customHeight="1">
      <c r="M685" s="345">
        <f>ROW()</f>
        <v>685</v>
      </c>
    </row>
    <row r="686" ht="12.75" customHeight="1">
      <c r="M686" s="345">
        <f>ROW()</f>
        <v>686</v>
      </c>
    </row>
    <row r="687" ht="12.75" customHeight="1">
      <c r="M687" s="345">
        <f>ROW()</f>
        <v>687</v>
      </c>
    </row>
    <row r="688" ht="12.75" customHeight="1">
      <c r="M688" s="345">
        <f>ROW()</f>
        <v>688</v>
      </c>
    </row>
    <row r="689" ht="12.75" customHeight="1">
      <c r="M689" s="345">
        <f>ROW()</f>
        <v>689</v>
      </c>
    </row>
    <row r="690" ht="12.75" customHeight="1">
      <c r="M690" s="345">
        <f>ROW()</f>
        <v>690</v>
      </c>
    </row>
    <row r="691" ht="12.75" customHeight="1">
      <c r="M691" s="345">
        <f>ROW()</f>
        <v>691</v>
      </c>
    </row>
    <row r="692" ht="12.75" customHeight="1">
      <c r="M692" s="345">
        <f>ROW()</f>
        <v>692</v>
      </c>
    </row>
    <row r="693" ht="12.75" customHeight="1">
      <c r="M693" s="345">
        <f>ROW()</f>
        <v>693</v>
      </c>
    </row>
    <row r="694" ht="12.75" customHeight="1">
      <c r="M694" s="345">
        <f>ROW()</f>
        <v>694</v>
      </c>
    </row>
    <row r="695" ht="12.75" customHeight="1">
      <c r="M695" s="345">
        <f>ROW()</f>
        <v>695</v>
      </c>
    </row>
    <row r="696" ht="12.75" customHeight="1">
      <c r="M696" s="345">
        <f>ROW()</f>
        <v>696</v>
      </c>
    </row>
    <row r="697" ht="12.75" customHeight="1">
      <c r="M697" s="345">
        <f>ROW()</f>
        <v>697</v>
      </c>
    </row>
    <row r="698" ht="12.75" customHeight="1">
      <c r="M698" s="345">
        <f>ROW()</f>
        <v>698</v>
      </c>
    </row>
    <row r="699" ht="12.75" customHeight="1">
      <c r="M699" s="345">
        <f>ROW()</f>
        <v>699</v>
      </c>
    </row>
    <row r="700" ht="12.75" customHeight="1">
      <c r="M700" s="345">
        <f>ROW()</f>
        <v>700</v>
      </c>
    </row>
    <row r="701" ht="12.75" customHeight="1">
      <c r="M701" s="345">
        <f>ROW()</f>
        <v>701</v>
      </c>
    </row>
    <row r="702" ht="12.75" customHeight="1">
      <c r="M702" s="345">
        <f>ROW()</f>
        <v>702</v>
      </c>
    </row>
    <row r="703" ht="12.75" customHeight="1">
      <c r="M703" s="345">
        <f>ROW()</f>
        <v>703</v>
      </c>
    </row>
    <row r="704" ht="12.75" customHeight="1">
      <c r="M704" s="345">
        <f>ROW()</f>
        <v>704</v>
      </c>
    </row>
    <row r="705" ht="12.75" customHeight="1">
      <c r="M705" s="345">
        <f>ROW()</f>
        <v>705</v>
      </c>
    </row>
    <row r="706" ht="12.75" customHeight="1">
      <c r="M706" s="345">
        <f>ROW()</f>
        <v>706</v>
      </c>
    </row>
    <row r="707" ht="12.75" customHeight="1">
      <c r="M707" s="345">
        <f>ROW()</f>
        <v>707</v>
      </c>
    </row>
    <row r="708" ht="12.75" customHeight="1">
      <c r="M708" s="345">
        <f>ROW()</f>
        <v>708</v>
      </c>
    </row>
    <row r="709" ht="12.75" customHeight="1">
      <c r="M709" s="345">
        <f>ROW()</f>
        <v>709</v>
      </c>
    </row>
    <row r="710" ht="12.75" customHeight="1">
      <c r="M710" s="345">
        <f>ROW()</f>
        <v>710</v>
      </c>
    </row>
    <row r="711" ht="12.75" customHeight="1">
      <c r="M711" s="345">
        <f>ROW()</f>
        <v>711</v>
      </c>
    </row>
    <row r="712" ht="12.75" customHeight="1">
      <c r="M712" s="345">
        <f>ROW()</f>
        <v>712</v>
      </c>
    </row>
    <row r="713" ht="12.75" customHeight="1">
      <c r="M713" s="345">
        <f>ROW()</f>
        <v>713</v>
      </c>
    </row>
    <row r="714" ht="12.75" customHeight="1">
      <c r="M714" s="345">
        <f>ROW()</f>
        <v>714</v>
      </c>
    </row>
    <row r="715" ht="12.75" customHeight="1">
      <c r="M715" s="345">
        <f>ROW()</f>
        <v>715</v>
      </c>
    </row>
    <row r="716" ht="12.75" customHeight="1">
      <c r="M716" s="345">
        <f>ROW()</f>
        <v>716</v>
      </c>
    </row>
    <row r="717" ht="12.75" customHeight="1">
      <c r="M717" s="345">
        <f>ROW()</f>
        <v>717</v>
      </c>
    </row>
    <row r="718" ht="12.75" customHeight="1">
      <c r="M718" s="345">
        <f>ROW()</f>
        <v>718</v>
      </c>
    </row>
    <row r="719" ht="12.75" customHeight="1">
      <c r="M719" s="345">
        <f>ROW()</f>
        <v>719</v>
      </c>
    </row>
    <row r="720" ht="12.75" customHeight="1">
      <c r="M720" s="345">
        <f>ROW()</f>
        <v>720</v>
      </c>
    </row>
    <row r="721" ht="12.75" customHeight="1">
      <c r="M721" s="345">
        <f>ROW()</f>
        <v>721</v>
      </c>
    </row>
    <row r="722" ht="12.75" customHeight="1">
      <c r="M722" s="345">
        <f>ROW()</f>
        <v>722</v>
      </c>
    </row>
    <row r="723" ht="12.75" customHeight="1">
      <c r="M723" s="345">
        <f>ROW()</f>
        <v>723</v>
      </c>
    </row>
    <row r="724" ht="12.75" customHeight="1">
      <c r="M724" s="345">
        <f>ROW()</f>
        <v>724</v>
      </c>
    </row>
    <row r="725" ht="12.75" customHeight="1">
      <c r="M725" s="345">
        <f>ROW()</f>
        <v>725</v>
      </c>
    </row>
    <row r="726" ht="12.75" customHeight="1">
      <c r="M726" s="345">
        <f>ROW()</f>
        <v>726</v>
      </c>
    </row>
    <row r="727" ht="12.75" customHeight="1">
      <c r="M727" s="345">
        <f>ROW()</f>
        <v>727</v>
      </c>
    </row>
    <row r="728" ht="12.75" customHeight="1">
      <c r="M728" s="345">
        <f>ROW()</f>
        <v>728</v>
      </c>
    </row>
    <row r="729" ht="12.75" customHeight="1">
      <c r="M729" s="345">
        <f>ROW()</f>
        <v>729</v>
      </c>
    </row>
    <row r="730" ht="12.75" customHeight="1">
      <c r="M730" s="345">
        <f>ROW()</f>
        <v>730</v>
      </c>
    </row>
    <row r="731" ht="12.75" customHeight="1">
      <c r="M731" s="345">
        <f>ROW()</f>
        <v>731</v>
      </c>
    </row>
    <row r="732" ht="12.75" customHeight="1">
      <c r="M732" s="345">
        <f>ROW()</f>
        <v>732</v>
      </c>
    </row>
    <row r="733" ht="12.75" customHeight="1">
      <c r="M733" s="345">
        <f>ROW()</f>
        <v>733</v>
      </c>
    </row>
    <row r="734" ht="12.75" customHeight="1">
      <c r="M734" s="345">
        <f>ROW()</f>
        <v>734</v>
      </c>
    </row>
    <row r="735" ht="12.75" customHeight="1">
      <c r="M735" s="345">
        <f>ROW()</f>
        <v>735</v>
      </c>
    </row>
    <row r="736" ht="12.75" customHeight="1">
      <c r="M736" s="345">
        <f>ROW()</f>
        <v>736</v>
      </c>
    </row>
    <row r="737" ht="12.75" customHeight="1">
      <c r="M737" s="345">
        <f>ROW()</f>
        <v>737</v>
      </c>
    </row>
    <row r="738" ht="12.75" customHeight="1">
      <c r="M738" s="345">
        <f>ROW()</f>
        <v>738</v>
      </c>
    </row>
    <row r="739" ht="12.75" customHeight="1">
      <c r="M739" s="345">
        <f>ROW()</f>
        <v>739</v>
      </c>
    </row>
    <row r="740" ht="12.75" customHeight="1">
      <c r="M740" s="345">
        <f>ROW()</f>
        <v>740</v>
      </c>
    </row>
    <row r="741" ht="12.75" customHeight="1">
      <c r="M741" s="345">
        <f>ROW()</f>
        <v>741</v>
      </c>
    </row>
    <row r="742" ht="12.75" customHeight="1">
      <c r="M742" s="345">
        <f>ROW()</f>
        <v>742</v>
      </c>
    </row>
    <row r="743" ht="12.75" customHeight="1">
      <c r="M743" s="345">
        <f>ROW()</f>
        <v>743</v>
      </c>
    </row>
    <row r="744" ht="12.75" customHeight="1">
      <c r="M744" s="345">
        <f>ROW()</f>
        <v>744</v>
      </c>
    </row>
    <row r="745" ht="12.75" customHeight="1">
      <c r="M745" s="345">
        <f>ROW()</f>
        <v>745</v>
      </c>
    </row>
    <row r="746" ht="12.75" customHeight="1">
      <c r="M746" s="345">
        <f>ROW()</f>
        <v>746</v>
      </c>
    </row>
    <row r="747" ht="12.75" customHeight="1">
      <c r="M747" s="345">
        <f>ROW()</f>
        <v>747</v>
      </c>
    </row>
    <row r="748" ht="12.75" customHeight="1">
      <c r="M748" s="345">
        <f>ROW()</f>
        <v>748</v>
      </c>
    </row>
    <row r="749" ht="12.75" customHeight="1">
      <c r="M749" s="345">
        <f>ROW()</f>
        <v>749</v>
      </c>
    </row>
    <row r="750" ht="12.75" customHeight="1">
      <c r="M750" s="345">
        <f>ROW()</f>
        <v>750</v>
      </c>
    </row>
    <row r="751" ht="12.75" customHeight="1">
      <c r="M751" s="345">
        <f>ROW()</f>
        <v>751</v>
      </c>
    </row>
    <row r="752" ht="12.75" customHeight="1">
      <c r="M752" s="345">
        <f>ROW()</f>
        <v>752</v>
      </c>
    </row>
    <row r="753" ht="12.75" customHeight="1">
      <c r="M753" s="345">
        <f>ROW()</f>
        <v>753</v>
      </c>
    </row>
    <row r="754" ht="12.75" customHeight="1">
      <c r="M754" s="345">
        <f>ROW()</f>
        <v>754</v>
      </c>
    </row>
    <row r="755" ht="12.75" customHeight="1">
      <c r="M755" s="345">
        <f>ROW()</f>
        <v>755</v>
      </c>
    </row>
    <row r="756" ht="12.75" customHeight="1">
      <c r="M756" s="345">
        <f>ROW()</f>
        <v>756</v>
      </c>
    </row>
    <row r="757" ht="12.75" customHeight="1">
      <c r="M757" s="345">
        <f>ROW()</f>
        <v>757</v>
      </c>
    </row>
    <row r="758" ht="12.75" customHeight="1">
      <c r="M758" s="345">
        <f>ROW()</f>
        <v>758</v>
      </c>
    </row>
    <row r="759" ht="12.75" customHeight="1">
      <c r="M759" s="345">
        <f>ROW()</f>
        <v>759</v>
      </c>
    </row>
    <row r="760" ht="12.75" customHeight="1">
      <c r="M760" s="345">
        <f>ROW()</f>
        <v>760</v>
      </c>
    </row>
    <row r="761" ht="12.75" customHeight="1">
      <c r="M761" s="345">
        <f>ROW()</f>
        <v>761</v>
      </c>
    </row>
    <row r="762" ht="12.75" customHeight="1">
      <c r="M762" s="345">
        <f>ROW()</f>
        <v>762</v>
      </c>
    </row>
    <row r="763" ht="12.75" customHeight="1">
      <c r="M763" s="345">
        <f>ROW()</f>
        <v>763</v>
      </c>
    </row>
    <row r="764" ht="12.75" customHeight="1">
      <c r="M764" s="345">
        <f>ROW()</f>
        <v>764</v>
      </c>
    </row>
    <row r="765" ht="12.75" customHeight="1">
      <c r="M765" s="345">
        <f>ROW()</f>
        <v>765</v>
      </c>
    </row>
    <row r="766" ht="12.75" customHeight="1">
      <c r="M766" s="345">
        <f>ROW()</f>
        <v>766</v>
      </c>
    </row>
    <row r="767" ht="12.75" customHeight="1">
      <c r="M767" s="345">
        <f>ROW()</f>
        <v>767</v>
      </c>
    </row>
    <row r="768" ht="12.75" customHeight="1">
      <c r="M768" s="345">
        <f>ROW()</f>
        <v>768</v>
      </c>
    </row>
    <row r="769" ht="12.75" customHeight="1">
      <c r="M769" s="345">
        <f>ROW()</f>
        <v>769</v>
      </c>
    </row>
    <row r="770" ht="12.75" customHeight="1">
      <c r="M770" s="345">
        <f>ROW()</f>
        <v>770</v>
      </c>
    </row>
    <row r="771" ht="12.75" customHeight="1">
      <c r="M771" s="345">
        <f>ROW()</f>
        <v>771</v>
      </c>
    </row>
    <row r="772" ht="12.75" customHeight="1">
      <c r="M772" s="345">
        <f>ROW()</f>
        <v>772</v>
      </c>
    </row>
    <row r="773" ht="12.75" customHeight="1">
      <c r="M773" s="345">
        <f>ROW()</f>
        <v>773</v>
      </c>
    </row>
    <row r="774" ht="12.75" customHeight="1">
      <c r="M774" s="345">
        <f>ROW()</f>
        <v>774</v>
      </c>
    </row>
    <row r="775" ht="12.75" customHeight="1">
      <c r="M775" s="345">
        <f>ROW()</f>
        <v>775</v>
      </c>
    </row>
    <row r="776" ht="12.75" customHeight="1">
      <c r="M776" s="345">
        <f>ROW()</f>
        <v>776</v>
      </c>
    </row>
    <row r="777" ht="12.75" customHeight="1">
      <c r="M777" s="345">
        <f>ROW()</f>
        <v>777</v>
      </c>
    </row>
    <row r="778" ht="12.75" customHeight="1">
      <c r="M778" s="345">
        <f>ROW()</f>
        <v>778</v>
      </c>
    </row>
    <row r="779" ht="12.75" customHeight="1">
      <c r="M779" s="345">
        <f>ROW()</f>
        <v>779</v>
      </c>
    </row>
    <row r="780" ht="12.75" customHeight="1">
      <c r="M780" s="345">
        <f>ROW()</f>
        <v>780</v>
      </c>
    </row>
    <row r="781" ht="12.75" customHeight="1">
      <c r="M781" s="345">
        <f>ROW()</f>
        <v>781</v>
      </c>
    </row>
    <row r="782" ht="12.75" customHeight="1">
      <c r="M782" s="345">
        <f>ROW()</f>
        <v>782</v>
      </c>
    </row>
    <row r="783" ht="12.75" customHeight="1">
      <c r="M783" s="345">
        <f>ROW()</f>
        <v>783</v>
      </c>
    </row>
    <row r="784" ht="12.75" customHeight="1">
      <c r="M784" s="345">
        <f>ROW()</f>
        <v>784</v>
      </c>
    </row>
    <row r="785" ht="12.75" customHeight="1">
      <c r="M785" s="345">
        <f>ROW()</f>
        <v>785</v>
      </c>
    </row>
    <row r="786" ht="12.75" customHeight="1">
      <c r="M786" s="345">
        <f>ROW()</f>
        <v>786</v>
      </c>
    </row>
    <row r="787" ht="12.75" customHeight="1">
      <c r="M787" s="345">
        <f>ROW()</f>
        <v>787</v>
      </c>
    </row>
    <row r="788" ht="12.75" customHeight="1">
      <c r="M788" s="345">
        <f>ROW()</f>
        <v>788</v>
      </c>
    </row>
    <row r="789" ht="12.75" customHeight="1">
      <c r="M789" s="345">
        <f>ROW()</f>
        <v>789</v>
      </c>
    </row>
    <row r="790" ht="12.75" customHeight="1">
      <c r="M790" s="345">
        <f>ROW()</f>
        <v>790</v>
      </c>
    </row>
    <row r="791" ht="12.75" customHeight="1">
      <c r="M791" s="345">
        <f>ROW()</f>
        <v>791</v>
      </c>
    </row>
    <row r="792" ht="12.75" customHeight="1">
      <c r="M792" s="345">
        <f>ROW()</f>
        <v>792</v>
      </c>
    </row>
    <row r="793" ht="12.75" customHeight="1">
      <c r="M793" s="345">
        <f>ROW()</f>
        <v>793</v>
      </c>
    </row>
    <row r="794" ht="12.75" customHeight="1">
      <c r="M794" s="345">
        <f>ROW()</f>
        <v>794</v>
      </c>
    </row>
    <row r="795" ht="12.75" customHeight="1">
      <c r="M795" s="345">
        <f>ROW()</f>
        <v>795</v>
      </c>
    </row>
    <row r="796" ht="12.75" customHeight="1">
      <c r="M796" s="345">
        <f>ROW()</f>
        <v>796</v>
      </c>
    </row>
    <row r="797" ht="12.75" customHeight="1">
      <c r="M797" s="345">
        <f>ROW()</f>
        <v>797</v>
      </c>
    </row>
    <row r="798" ht="12.75" customHeight="1">
      <c r="M798" s="345">
        <f>ROW()</f>
        <v>798</v>
      </c>
    </row>
    <row r="799" ht="12.75" customHeight="1">
      <c r="M799" s="345">
        <f>ROW()</f>
        <v>799</v>
      </c>
    </row>
    <row r="800" ht="12.75" customHeight="1">
      <c r="M800" s="345">
        <f>ROW()</f>
        <v>800</v>
      </c>
    </row>
    <row r="801" ht="12.75" customHeight="1">
      <c r="M801" s="345">
        <f>ROW()</f>
        <v>801</v>
      </c>
    </row>
    <row r="802" ht="12.75" customHeight="1">
      <c r="M802" s="345">
        <f>ROW()</f>
        <v>802</v>
      </c>
    </row>
    <row r="803" ht="12.75" customHeight="1">
      <c r="M803" s="345">
        <f>ROW()</f>
        <v>803</v>
      </c>
    </row>
    <row r="804" ht="12.75" customHeight="1">
      <c r="M804" s="345">
        <f>ROW()</f>
        <v>804</v>
      </c>
    </row>
    <row r="805" ht="12.75" customHeight="1">
      <c r="M805" s="345">
        <f>ROW()</f>
        <v>805</v>
      </c>
    </row>
    <row r="806" ht="12.75" customHeight="1">
      <c r="M806" s="345">
        <f>ROW()</f>
        <v>806</v>
      </c>
    </row>
    <row r="807" ht="12.75" customHeight="1">
      <c r="M807" s="345">
        <f>ROW()</f>
        <v>807</v>
      </c>
    </row>
    <row r="808" ht="12.75" customHeight="1">
      <c r="M808" s="345">
        <f>ROW()</f>
        <v>808</v>
      </c>
    </row>
    <row r="809" ht="12.75" customHeight="1">
      <c r="M809" s="345">
        <f>ROW()</f>
        <v>809</v>
      </c>
    </row>
    <row r="810" ht="12.75" customHeight="1">
      <c r="M810" s="345">
        <f>ROW()</f>
        <v>810</v>
      </c>
    </row>
    <row r="811" ht="12.75" customHeight="1">
      <c r="M811" s="345">
        <f>ROW()</f>
        <v>811</v>
      </c>
    </row>
    <row r="812" ht="12.75" customHeight="1">
      <c r="M812" s="345">
        <f>ROW()</f>
        <v>812</v>
      </c>
    </row>
    <row r="813" ht="12.75" customHeight="1">
      <c r="M813" s="345">
        <f>ROW()</f>
        <v>813</v>
      </c>
    </row>
    <row r="814" ht="12.75" customHeight="1">
      <c r="M814" s="345">
        <f>ROW()</f>
        <v>814</v>
      </c>
    </row>
    <row r="815" ht="12.75" customHeight="1">
      <c r="M815" s="345">
        <f>ROW()</f>
        <v>815</v>
      </c>
    </row>
    <row r="816" ht="12.75" customHeight="1">
      <c r="M816" s="345">
        <f>ROW()</f>
        <v>816</v>
      </c>
    </row>
    <row r="817" ht="12.75" customHeight="1">
      <c r="M817" s="345">
        <f>ROW()</f>
        <v>817</v>
      </c>
    </row>
    <row r="818" ht="12.75" customHeight="1">
      <c r="M818" s="345">
        <f>ROW()</f>
        <v>818</v>
      </c>
    </row>
    <row r="819" ht="12.75" customHeight="1">
      <c r="M819" s="345">
        <f>ROW()</f>
        <v>819</v>
      </c>
    </row>
    <row r="820" ht="12.75" customHeight="1">
      <c r="M820" s="345">
        <f>ROW()</f>
        <v>820</v>
      </c>
    </row>
    <row r="821" ht="12.75" customHeight="1">
      <c r="M821" s="345">
        <f>ROW()</f>
        <v>821</v>
      </c>
    </row>
    <row r="822" ht="12.75" customHeight="1">
      <c r="M822" s="345">
        <f>ROW()</f>
        <v>822</v>
      </c>
    </row>
    <row r="823" ht="12.75" customHeight="1">
      <c r="M823" s="345">
        <f>ROW()</f>
        <v>823</v>
      </c>
    </row>
    <row r="824" ht="12.75" customHeight="1">
      <c r="M824" s="345">
        <f>ROW()</f>
        <v>824</v>
      </c>
    </row>
    <row r="825" ht="12.75" customHeight="1">
      <c r="M825" s="345">
        <f>ROW()</f>
        <v>825</v>
      </c>
    </row>
    <row r="826" ht="12.75" customHeight="1">
      <c r="M826" s="345">
        <f>ROW()</f>
        <v>826</v>
      </c>
    </row>
    <row r="827" ht="12.75" customHeight="1">
      <c r="M827" s="345">
        <f>ROW()</f>
        <v>827</v>
      </c>
    </row>
    <row r="828" ht="12.75" customHeight="1">
      <c r="M828" s="345">
        <f>ROW()</f>
        <v>828</v>
      </c>
    </row>
    <row r="829" ht="12.75" customHeight="1">
      <c r="M829" s="345">
        <f>ROW()</f>
        <v>829</v>
      </c>
    </row>
    <row r="830" ht="12.75" customHeight="1">
      <c r="M830" s="345">
        <f>ROW()</f>
        <v>830</v>
      </c>
    </row>
    <row r="831" ht="12.75" customHeight="1">
      <c r="M831" s="345">
        <f>ROW()</f>
        <v>831</v>
      </c>
    </row>
    <row r="832" ht="12.75" customHeight="1">
      <c r="M832" s="345">
        <f>ROW()</f>
        <v>832</v>
      </c>
    </row>
    <row r="833" ht="12.75" customHeight="1">
      <c r="M833" s="345">
        <f>ROW()</f>
        <v>833</v>
      </c>
    </row>
    <row r="834" ht="12.75" customHeight="1">
      <c r="M834" s="345">
        <f>ROW()</f>
        <v>834</v>
      </c>
    </row>
    <row r="835" ht="12.75" customHeight="1">
      <c r="M835" s="345">
        <f>ROW()</f>
        <v>835</v>
      </c>
    </row>
    <row r="836" ht="12.75" customHeight="1">
      <c r="M836" s="345">
        <f>ROW()</f>
        <v>836</v>
      </c>
    </row>
    <row r="837" ht="12.75" customHeight="1">
      <c r="M837" s="345">
        <f>ROW()</f>
        <v>837</v>
      </c>
    </row>
    <row r="838" ht="12.75" customHeight="1">
      <c r="M838" s="345">
        <f>ROW()</f>
        <v>838</v>
      </c>
    </row>
    <row r="839" ht="12.75" customHeight="1">
      <c r="M839" s="345">
        <f>ROW()</f>
        <v>839</v>
      </c>
    </row>
    <row r="840" ht="12.75" customHeight="1">
      <c r="M840" s="345">
        <f>ROW()</f>
        <v>840</v>
      </c>
    </row>
    <row r="841" ht="12.75" customHeight="1">
      <c r="M841" s="345">
        <f>ROW()</f>
        <v>841</v>
      </c>
    </row>
    <row r="842" ht="12.75" customHeight="1">
      <c r="M842" s="345">
        <f>ROW()</f>
        <v>842</v>
      </c>
    </row>
    <row r="843" ht="12.75" customHeight="1">
      <c r="M843" s="345">
        <f>ROW()</f>
        <v>843</v>
      </c>
    </row>
    <row r="844" ht="12.75" customHeight="1">
      <c r="M844" s="345">
        <f>ROW()</f>
        <v>844</v>
      </c>
    </row>
    <row r="845" ht="12.75" customHeight="1">
      <c r="M845" s="345">
        <f>ROW()</f>
        <v>845</v>
      </c>
    </row>
    <row r="846" ht="12.75" customHeight="1">
      <c r="M846" s="345">
        <f>ROW()</f>
        <v>846</v>
      </c>
    </row>
    <row r="847" ht="12.75" customHeight="1">
      <c r="M847" s="345">
        <f>ROW()</f>
        <v>847</v>
      </c>
    </row>
    <row r="848" ht="12.75" customHeight="1">
      <c r="M848" s="345">
        <f>ROW()</f>
        <v>848</v>
      </c>
    </row>
    <row r="849" ht="12.75" customHeight="1">
      <c r="M849" s="345">
        <f>ROW()</f>
        <v>849</v>
      </c>
    </row>
    <row r="850" ht="12.75" customHeight="1">
      <c r="M850" s="345">
        <f>ROW()</f>
        <v>850</v>
      </c>
    </row>
    <row r="851" ht="12.75" customHeight="1">
      <c r="M851" s="345">
        <f>ROW()</f>
        <v>851</v>
      </c>
    </row>
    <row r="852" ht="12.75" customHeight="1">
      <c r="M852" s="345">
        <f>ROW()</f>
        <v>852</v>
      </c>
    </row>
    <row r="853" ht="12.75" customHeight="1">
      <c r="M853" s="345">
        <f>ROW()</f>
        <v>853</v>
      </c>
    </row>
    <row r="854" ht="12.75" customHeight="1">
      <c r="M854" s="345">
        <f>ROW()</f>
        <v>854</v>
      </c>
    </row>
    <row r="855" ht="12.75" customHeight="1">
      <c r="M855" s="345">
        <f>ROW()</f>
        <v>855</v>
      </c>
    </row>
    <row r="856" ht="12.75" customHeight="1">
      <c r="M856" s="345">
        <f>ROW()</f>
        <v>856</v>
      </c>
    </row>
    <row r="857" ht="12.75" customHeight="1">
      <c r="M857" s="345">
        <f>ROW()</f>
        <v>857</v>
      </c>
    </row>
    <row r="858" ht="12.75" customHeight="1">
      <c r="M858" s="345">
        <f>ROW()</f>
        <v>858</v>
      </c>
    </row>
    <row r="859" ht="12.75" customHeight="1">
      <c r="M859" s="345">
        <f>ROW()</f>
        <v>859</v>
      </c>
    </row>
    <row r="860" ht="12.75" customHeight="1">
      <c r="M860" s="345">
        <f>ROW()</f>
        <v>860</v>
      </c>
    </row>
    <row r="861" ht="12.75" customHeight="1">
      <c r="M861" s="345">
        <f>ROW()</f>
        <v>861</v>
      </c>
    </row>
    <row r="862" ht="12.75" customHeight="1">
      <c r="M862" s="345">
        <f>ROW()</f>
        <v>862</v>
      </c>
    </row>
    <row r="863" ht="12.75" customHeight="1">
      <c r="M863" s="345">
        <f>ROW()</f>
        <v>863</v>
      </c>
    </row>
    <row r="864" ht="12.75" customHeight="1">
      <c r="M864" s="345">
        <f>ROW()</f>
        <v>864</v>
      </c>
    </row>
    <row r="865" ht="12.75" customHeight="1">
      <c r="M865" s="345">
        <f>ROW()</f>
        <v>865</v>
      </c>
    </row>
    <row r="866" ht="12.75" customHeight="1">
      <c r="M866" s="345">
        <f>ROW()</f>
        <v>866</v>
      </c>
    </row>
    <row r="867" ht="12.75" customHeight="1">
      <c r="M867" s="345">
        <f>ROW()</f>
        <v>867</v>
      </c>
    </row>
    <row r="868" ht="12.75" customHeight="1">
      <c r="M868" s="345">
        <f>ROW()</f>
        <v>868</v>
      </c>
    </row>
    <row r="869" ht="12.75" customHeight="1">
      <c r="M869" s="345">
        <f>ROW()</f>
        <v>869</v>
      </c>
    </row>
    <row r="870" ht="12.75" customHeight="1">
      <c r="M870" s="345">
        <f>ROW()</f>
        <v>870</v>
      </c>
    </row>
    <row r="871" ht="12.75" customHeight="1">
      <c r="M871" s="345">
        <f>ROW()</f>
        <v>871</v>
      </c>
    </row>
    <row r="872" ht="12.75" customHeight="1">
      <c r="M872" s="345">
        <f>ROW()</f>
        <v>872</v>
      </c>
    </row>
    <row r="873" ht="12.75" customHeight="1">
      <c r="M873" s="345">
        <f>ROW()</f>
        <v>873</v>
      </c>
    </row>
    <row r="874" ht="12.75" customHeight="1">
      <c r="M874" s="345">
        <f>ROW()</f>
        <v>874</v>
      </c>
    </row>
    <row r="875" ht="12.75" customHeight="1">
      <c r="M875" s="345">
        <f>ROW()</f>
        <v>875</v>
      </c>
    </row>
    <row r="876" ht="12.75" customHeight="1">
      <c r="M876" s="345">
        <f>ROW()</f>
        <v>876</v>
      </c>
    </row>
    <row r="877" ht="12.75" customHeight="1">
      <c r="M877" s="345">
        <f>ROW()</f>
        <v>877</v>
      </c>
    </row>
    <row r="878" ht="12.75" customHeight="1">
      <c r="M878" s="345">
        <f>ROW()</f>
        <v>878</v>
      </c>
    </row>
    <row r="879" ht="12.75" customHeight="1">
      <c r="M879" s="345">
        <f>ROW()</f>
        <v>879</v>
      </c>
    </row>
    <row r="880" ht="12.75" customHeight="1">
      <c r="M880" s="345">
        <f>ROW()</f>
        <v>880</v>
      </c>
    </row>
    <row r="881" ht="12.75" customHeight="1">
      <c r="M881" s="345">
        <f>ROW()</f>
        <v>881</v>
      </c>
    </row>
    <row r="882" ht="12.75" customHeight="1">
      <c r="M882" s="345">
        <f>ROW()</f>
        <v>882</v>
      </c>
    </row>
    <row r="883" ht="12.75" customHeight="1">
      <c r="M883" s="345">
        <f>ROW()</f>
        <v>883</v>
      </c>
    </row>
    <row r="884" ht="12.75" customHeight="1">
      <c r="M884" s="345">
        <f>ROW()</f>
        <v>884</v>
      </c>
    </row>
    <row r="885" ht="12.75" customHeight="1">
      <c r="M885" s="345">
        <f>ROW()</f>
        <v>885</v>
      </c>
    </row>
    <row r="886" ht="12.75" customHeight="1">
      <c r="M886" s="345">
        <f>ROW()</f>
        <v>886</v>
      </c>
    </row>
    <row r="887" ht="12.75" customHeight="1">
      <c r="M887" s="345">
        <f>ROW()</f>
        <v>887</v>
      </c>
    </row>
    <row r="888" ht="12.75" customHeight="1">
      <c r="M888" s="345">
        <f>ROW()</f>
        <v>888</v>
      </c>
    </row>
    <row r="889" ht="12.75" customHeight="1">
      <c r="M889" s="345">
        <f>ROW()</f>
        <v>889</v>
      </c>
    </row>
    <row r="890" ht="12.75" customHeight="1">
      <c r="M890" s="345">
        <f>ROW()</f>
        <v>890</v>
      </c>
    </row>
    <row r="891" ht="12.75" customHeight="1">
      <c r="M891" s="345">
        <f>ROW()</f>
        <v>891</v>
      </c>
    </row>
    <row r="892" ht="12.75" customHeight="1">
      <c r="M892" s="345">
        <f>ROW()</f>
        <v>892</v>
      </c>
    </row>
    <row r="893" ht="12.75" customHeight="1">
      <c r="M893" s="345">
        <f>ROW()</f>
        <v>893</v>
      </c>
    </row>
    <row r="894" ht="12.75" customHeight="1">
      <c r="M894" s="345">
        <f>ROW()</f>
        <v>894</v>
      </c>
    </row>
    <row r="895" ht="12.75" customHeight="1">
      <c r="M895" s="345">
        <f>ROW()</f>
        <v>895</v>
      </c>
    </row>
    <row r="896" ht="12.75" customHeight="1">
      <c r="M896" s="345">
        <f>ROW()</f>
        <v>896</v>
      </c>
    </row>
    <row r="897" ht="12.75" customHeight="1">
      <c r="M897" s="345">
        <f>ROW()</f>
        <v>897</v>
      </c>
    </row>
    <row r="898" ht="12.75" customHeight="1">
      <c r="M898" s="345">
        <f>ROW()</f>
        <v>898</v>
      </c>
    </row>
    <row r="899" ht="12.75" customHeight="1">
      <c r="M899" s="345">
        <f>ROW()</f>
        <v>899</v>
      </c>
    </row>
    <row r="900" ht="12.75" customHeight="1">
      <c r="M900" s="345">
        <f>ROW()</f>
        <v>900</v>
      </c>
    </row>
    <row r="901" ht="12.75" customHeight="1">
      <c r="M901" s="345">
        <f>ROW()</f>
        <v>901</v>
      </c>
    </row>
    <row r="902" ht="12.75" customHeight="1">
      <c r="M902" s="345">
        <f>ROW()</f>
        <v>902</v>
      </c>
    </row>
    <row r="903" ht="12.75" customHeight="1">
      <c r="M903" s="345">
        <f>ROW()</f>
        <v>903</v>
      </c>
    </row>
    <row r="904" ht="12.75" customHeight="1">
      <c r="M904" s="345">
        <f>ROW()</f>
        <v>904</v>
      </c>
    </row>
    <row r="905" ht="12.75" customHeight="1">
      <c r="M905" s="345">
        <f>ROW()</f>
        <v>905</v>
      </c>
    </row>
    <row r="906" ht="12.75" customHeight="1">
      <c r="M906" s="345">
        <f>ROW()</f>
        <v>906</v>
      </c>
    </row>
    <row r="907" ht="12.75" customHeight="1">
      <c r="M907" s="345">
        <f>ROW()</f>
        <v>907</v>
      </c>
    </row>
    <row r="908" ht="12.75" customHeight="1">
      <c r="M908" s="345">
        <f>ROW()</f>
        <v>908</v>
      </c>
    </row>
    <row r="909" ht="12.75" customHeight="1">
      <c r="M909" s="345">
        <f>ROW()</f>
        <v>909</v>
      </c>
    </row>
    <row r="910" ht="12.75" customHeight="1">
      <c r="M910" s="345">
        <f>ROW()</f>
        <v>910</v>
      </c>
    </row>
    <row r="911" ht="12.75" customHeight="1">
      <c r="M911" s="345">
        <f>ROW()</f>
        <v>911</v>
      </c>
    </row>
    <row r="912" ht="12.75" customHeight="1">
      <c r="M912" s="345">
        <f>ROW()</f>
        <v>912</v>
      </c>
    </row>
    <row r="913" ht="12.75" customHeight="1">
      <c r="M913" s="345">
        <f>ROW()</f>
        <v>913</v>
      </c>
    </row>
    <row r="914" ht="12.75" customHeight="1">
      <c r="M914" s="345">
        <f>ROW()</f>
        <v>914</v>
      </c>
    </row>
    <row r="915" ht="12.75" customHeight="1">
      <c r="M915" s="345">
        <f>ROW()</f>
        <v>915</v>
      </c>
    </row>
    <row r="916" ht="12.75" customHeight="1">
      <c r="M916" s="345">
        <f>ROW()</f>
        <v>916</v>
      </c>
    </row>
    <row r="917" ht="12.75" customHeight="1">
      <c r="M917" s="345">
        <f>ROW()</f>
        <v>917</v>
      </c>
    </row>
    <row r="918" ht="12.75" customHeight="1">
      <c r="M918" s="345">
        <f>ROW()</f>
        <v>918</v>
      </c>
    </row>
    <row r="919" ht="12.75" customHeight="1">
      <c r="M919" s="345">
        <f>ROW()</f>
        <v>919</v>
      </c>
    </row>
    <row r="920" ht="12.75" customHeight="1">
      <c r="M920" s="345">
        <f>ROW()</f>
        <v>920</v>
      </c>
    </row>
    <row r="921" ht="12.75" customHeight="1">
      <c r="M921" s="345">
        <f>ROW()</f>
        <v>921</v>
      </c>
    </row>
    <row r="922" ht="12.75" customHeight="1">
      <c r="M922" s="345">
        <f>ROW()</f>
        <v>922</v>
      </c>
    </row>
    <row r="923" ht="12.75" customHeight="1">
      <c r="M923" s="345">
        <f>ROW()</f>
        <v>923</v>
      </c>
    </row>
    <row r="924" ht="12.75" customHeight="1">
      <c r="M924" s="345">
        <f>ROW()</f>
        <v>924</v>
      </c>
    </row>
    <row r="925" ht="12.75" customHeight="1">
      <c r="M925" s="345">
        <f>ROW()</f>
        <v>925</v>
      </c>
    </row>
    <row r="926" ht="12.75" customHeight="1">
      <c r="M926" s="345">
        <f>ROW()</f>
        <v>926</v>
      </c>
    </row>
    <row r="927" ht="12.75" customHeight="1">
      <c r="M927" s="345">
        <f>ROW()</f>
        <v>927</v>
      </c>
    </row>
    <row r="928" ht="12.75" customHeight="1">
      <c r="M928" s="345">
        <f>ROW()</f>
        <v>928</v>
      </c>
    </row>
    <row r="929" ht="12.75" customHeight="1">
      <c r="M929" s="345">
        <f>ROW()</f>
        <v>929</v>
      </c>
    </row>
    <row r="930" ht="12.75" customHeight="1">
      <c r="M930" s="345">
        <f>ROW()</f>
        <v>930</v>
      </c>
    </row>
    <row r="931" ht="12.75" customHeight="1">
      <c r="M931" s="345">
        <f>ROW()</f>
        <v>931</v>
      </c>
    </row>
    <row r="932" ht="12.75" customHeight="1">
      <c r="M932" s="345">
        <f>ROW()</f>
        <v>932</v>
      </c>
    </row>
    <row r="933" ht="12.75" customHeight="1">
      <c r="M933" s="345">
        <f>ROW()</f>
        <v>933</v>
      </c>
    </row>
    <row r="934" ht="12.75" customHeight="1">
      <c r="M934" s="345">
        <f>ROW()</f>
        <v>934</v>
      </c>
    </row>
    <row r="935" ht="12.75" customHeight="1">
      <c r="M935" s="345">
        <f>ROW()</f>
        <v>935</v>
      </c>
    </row>
    <row r="936" ht="12.75" customHeight="1">
      <c r="M936" s="345">
        <f>ROW()</f>
        <v>936</v>
      </c>
    </row>
    <row r="937" ht="12.75" customHeight="1">
      <c r="M937" s="345">
        <f>ROW()</f>
        <v>937</v>
      </c>
    </row>
    <row r="938" ht="12.75" customHeight="1">
      <c r="M938" s="345">
        <f>ROW()</f>
        <v>938</v>
      </c>
    </row>
    <row r="939" ht="12.75" customHeight="1">
      <c r="M939" s="345">
        <f>ROW()</f>
        <v>939</v>
      </c>
    </row>
    <row r="940" ht="12.75" customHeight="1">
      <c r="M940" s="345">
        <f>ROW()</f>
        <v>940</v>
      </c>
    </row>
    <row r="941" ht="12.75" customHeight="1">
      <c r="M941" s="345">
        <f>ROW()</f>
        <v>941</v>
      </c>
    </row>
    <row r="942" ht="12.75" customHeight="1">
      <c r="M942" s="345">
        <f>ROW()</f>
        <v>942</v>
      </c>
    </row>
    <row r="943" ht="12.75" customHeight="1">
      <c r="M943" s="345">
        <f>ROW()</f>
        <v>943</v>
      </c>
    </row>
    <row r="944" ht="12.75" customHeight="1">
      <c r="M944" s="345">
        <f>ROW()</f>
        <v>944</v>
      </c>
    </row>
    <row r="945" ht="12.75" customHeight="1">
      <c r="M945" s="345">
        <f>ROW()</f>
        <v>945</v>
      </c>
    </row>
    <row r="946" ht="12.75" customHeight="1">
      <c r="M946" s="345">
        <f>ROW()</f>
        <v>946</v>
      </c>
    </row>
    <row r="947" ht="12.75" customHeight="1">
      <c r="M947" s="345">
        <f>ROW()</f>
        <v>947</v>
      </c>
    </row>
    <row r="948" ht="12.75" customHeight="1">
      <c r="M948" s="345">
        <f>ROW()</f>
        <v>948</v>
      </c>
    </row>
    <row r="949" ht="12.75" customHeight="1">
      <c r="M949" s="345">
        <f>ROW()</f>
        <v>949</v>
      </c>
    </row>
    <row r="950" ht="12.75" customHeight="1">
      <c r="M950" s="345">
        <f>ROW()</f>
        <v>950</v>
      </c>
    </row>
    <row r="951" ht="12.75" customHeight="1">
      <c r="M951" s="345">
        <f>ROW()</f>
        <v>951</v>
      </c>
    </row>
    <row r="952" ht="12.75" customHeight="1">
      <c r="M952" s="345">
        <f>ROW()</f>
        <v>952</v>
      </c>
    </row>
    <row r="953" ht="12.75" customHeight="1">
      <c r="M953" s="345">
        <f>ROW()</f>
        <v>953</v>
      </c>
    </row>
    <row r="954" ht="12.75" customHeight="1">
      <c r="M954" s="345">
        <f>ROW()</f>
        <v>954</v>
      </c>
    </row>
    <row r="955" ht="12.75" customHeight="1">
      <c r="M955" s="345">
        <f>ROW()</f>
        <v>955</v>
      </c>
    </row>
    <row r="956" ht="12.75" customHeight="1">
      <c r="M956" s="345">
        <f>ROW()</f>
        <v>956</v>
      </c>
    </row>
    <row r="957" ht="12.75" customHeight="1">
      <c r="M957" s="345">
        <f>ROW()</f>
        <v>957</v>
      </c>
    </row>
    <row r="958" ht="12.75" customHeight="1">
      <c r="M958" s="345">
        <f>ROW()</f>
        <v>958</v>
      </c>
    </row>
    <row r="959" ht="12.75" customHeight="1">
      <c r="M959" s="345">
        <f>ROW()</f>
        <v>959</v>
      </c>
    </row>
    <row r="960" ht="12.75" customHeight="1">
      <c r="M960" s="345">
        <f>ROW()</f>
        <v>960</v>
      </c>
    </row>
    <row r="961" ht="12.75" customHeight="1">
      <c r="M961" s="345">
        <f>ROW()</f>
        <v>961</v>
      </c>
    </row>
    <row r="962" ht="12.75" customHeight="1">
      <c r="M962" s="345">
        <f>ROW()</f>
        <v>962</v>
      </c>
    </row>
    <row r="963" ht="12.75" customHeight="1">
      <c r="M963" s="345">
        <f>ROW()</f>
        <v>963</v>
      </c>
    </row>
    <row r="964" ht="12.75" customHeight="1">
      <c r="M964" s="345">
        <f>ROW()</f>
        <v>964</v>
      </c>
    </row>
    <row r="965" ht="12.75" customHeight="1">
      <c r="M965" s="345">
        <f>ROW()</f>
        <v>965</v>
      </c>
    </row>
    <row r="966" ht="12.75" customHeight="1">
      <c r="M966" s="345">
        <f>ROW()</f>
        <v>966</v>
      </c>
    </row>
    <row r="967" ht="12.75" customHeight="1">
      <c r="M967" s="345">
        <f>ROW()</f>
        <v>967</v>
      </c>
    </row>
    <row r="968" ht="12.75" customHeight="1">
      <c r="M968" s="345">
        <f>ROW()</f>
        <v>968</v>
      </c>
    </row>
    <row r="969" ht="12.75" customHeight="1">
      <c r="M969" s="345">
        <f>ROW()</f>
        <v>969</v>
      </c>
    </row>
    <row r="970" ht="12.75" customHeight="1">
      <c r="M970" s="345">
        <f>ROW()</f>
        <v>970</v>
      </c>
    </row>
    <row r="971" ht="12.75" customHeight="1">
      <c r="M971" s="345">
        <f>ROW()</f>
        <v>971</v>
      </c>
    </row>
    <row r="972" ht="12.75" customHeight="1">
      <c r="M972" s="345">
        <f>ROW()</f>
        <v>972</v>
      </c>
    </row>
    <row r="973" ht="12.75" customHeight="1">
      <c r="M973" s="345">
        <f>ROW()</f>
        <v>973</v>
      </c>
    </row>
    <row r="974" ht="12.75" customHeight="1">
      <c r="M974" s="345">
        <f>ROW()</f>
        <v>974</v>
      </c>
    </row>
    <row r="975" ht="12.75" customHeight="1">
      <c r="M975" s="345">
        <f>ROW()</f>
        <v>975</v>
      </c>
    </row>
    <row r="976" ht="12.75" customHeight="1">
      <c r="M976" s="345">
        <f>ROW()</f>
        <v>976</v>
      </c>
    </row>
    <row r="977" ht="12.75" customHeight="1">
      <c r="M977" s="345">
        <f>ROW()</f>
        <v>977</v>
      </c>
    </row>
    <row r="978" ht="12.75" customHeight="1">
      <c r="M978" s="345">
        <f>ROW()</f>
        <v>978</v>
      </c>
    </row>
    <row r="979" ht="12.75" customHeight="1">
      <c r="M979" s="345">
        <f>ROW()</f>
        <v>979</v>
      </c>
    </row>
    <row r="980" ht="12.75" customHeight="1">
      <c r="M980" s="345">
        <f>ROW()</f>
        <v>980</v>
      </c>
    </row>
    <row r="981" ht="12.75" customHeight="1">
      <c r="M981" s="345">
        <f>ROW()</f>
        <v>981</v>
      </c>
    </row>
    <row r="982" ht="12.75" customHeight="1">
      <c r="M982" s="345">
        <f>ROW()</f>
        <v>982</v>
      </c>
    </row>
    <row r="983" ht="12.75" customHeight="1">
      <c r="M983" s="345">
        <f>ROW()</f>
        <v>983</v>
      </c>
    </row>
    <row r="984" ht="12.75" customHeight="1">
      <c r="M984" s="345">
        <f>ROW()</f>
        <v>984</v>
      </c>
    </row>
    <row r="985" ht="12.75" customHeight="1">
      <c r="M985" s="345">
        <f>ROW()</f>
        <v>985</v>
      </c>
    </row>
    <row r="986" ht="12.75" customHeight="1">
      <c r="M986" s="345">
        <f>ROW()</f>
        <v>986</v>
      </c>
    </row>
    <row r="987" ht="12.75" customHeight="1">
      <c r="M987" s="345">
        <f>ROW()</f>
        <v>987</v>
      </c>
    </row>
    <row r="988" ht="12.75" customHeight="1">
      <c r="M988" s="345">
        <f>ROW()</f>
        <v>988</v>
      </c>
    </row>
    <row r="989" ht="12.75" customHeight="1">
      <c r="M989" s="345">
        <f>ROW()</f>
        <v>989</v>
      </c>
    </row>
    <row r="990" ht="12.75" customHeight="1">
      <c r="M990" s="345">
        <f>ROW()</f>
        <v>990</v>
      </c>
    </row>
    <row r="991" ht="12.75" customHeight="1">
      <c r="M991" s="345">
        <f>ROW()</f>
        <v>991</v>
      </c>
    </row>
    <row r="992" ht="12.75" customHeight="1">
      <c r="M992" s="345">
        <f>ROW()</f>
        <v>992</v>
      </c>
    </row>
    <row r="993" ht="12.75" customHeight="1">
      <c r="M993" s="345">
        <f>ROW()</f>
        <v>993</v>
      </c>
    </row>
    <row r="994" ht="12.75" customHeight="1">
      <c r="M994" s="345">
        <f>ROW()</f>
        <v>994</v>
      </c>
    </row>
    <row r="995" ht="12.75" customHeight="1">
      <c r="M995" s="345">
        <f>ROW()</f>
        <v>995</v>
      </c>
    </row>
    <row r="996" ht="12.75" customHeight="1">
      <c r="M996" s="345">
        <f>ROW()</f>
        <v>996</v>
      </c>
    </row>
    <row r="997" ht="12.75" customHeight="1">
      <c r="M997" s="345">
        <f>ROW()</f>
        <v>997</v>
      </c>
    </row>
    <row r="998" ht="12.75" customHeight="1">
      <c r="M998" s="345">
        <f>ROW()</f>
        <v>998</v>
      </c>
    </row>
    <row r="999" ht="12.75" customHeight="1">
      <c r="M999" s="345">
        <f>ROW()</f>
        <v>999</v>
      </c>
    </row>
    <row r="1000" ht="12.75" customHeight="1">
      <c r="M1000" s="345">
        <f>ROW()</f>
        <v>1000</v>
      </c>
    </row>
  </sheetData>
  <sheetProtection select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tabColor indexed="41"/>
  </sheetPr>
  <dimension ref="A1:AY45"/>
  <sheetViews>
    <sheetView showGridLines="0" workbookViewId="0" topLeftCell="C1">
      <selection activeCell="K4" sqref="K4"/>
    </sheetView>
  </sheetViews>
  <sheetFormatPr defaultColWidth="11.421875" defaultRowHeight="12.75"/>
  <cols>
    <col min="1" max="1" width="2.421875" style="0" customWidth="1"/>
    <col min="2" max="2" width="21.140625" style="0" customWidth="1"/>
    <col min="3" max="3" width="7.57421875" style="0" customWidth="1"/>
    <col min="4" max="4" width="6.140625" style="0" customWidth="1"/>
    <col min="5" max="5" width="8.00390625" style="17" customWidth="1"/>
    <col min="6" max="6" width="8.140625" style="17" customWidth="1"/>
    <col min="7" max="7" width="7.421875" style="17" customWidth="1"/>
    <col min="8" max="8" width="8.00390625" style="17" customWidth="1"/>
    <col min="9" max="9" width="10.7109375" style="17" customWidth="1"/>
    <col min="10" max="10" width="11.421875" style="17" customWidth="1"/>
    <col min="11" max="11" width="10.00390625" style="0" customWidth="1"/>
    <col min="12" max="12" width="10.140625" style="0" customWidth="1"/>
    <col min="13" max="13" width="9.00390625" style="0" customWidth="1"/>
    <col min="14" max="14" width="9.8515625" style="0" customWidth="1"/>
    <col min="15" max="15" width="12.140625" style="0" customWidth="1"/>
    <col min="16" max="16" width="11.57421875" style="0" customWidth="1"/>
    <col min="17" max="17" width="10.421875" style="0" customWidth="1"/>
    <col min="18" max="20" width="0" style="0" hidden="1" customWidth="1"/>
    <col min="21" max="21" width="10.421875" style="0" customWidth="1"/>
    <col min="23" max="23" width="8.00390625" style="18" customWidth="1"/>
    <col min="24" max="25" width="8.00390625" style="18" hidden="1" customWidth="1"/>
    <col min="26" max="51" width="8.00390625" style="0" hidden="1" customWidth="1"/>
    <col min="52" max="53" width="8.00390625" style="0" customWidth="1"/>
  </cols>
  <sheetData>
    <row r="1" spans="2:8" ht="12.75">
      <c r="B1" s="19" t="str">
        <f ca="1">IF($X$43&lt;&gt;INFO("Version"),"Dies ist eine kostenlose Testversion von OFM-Transfer, die bis zum "&amp;DAY(Y43)&amp;"."&amp;MONTH(Y43)&amp;"."&amp;YEAR(Y43)&amp;" gültig ist. Die Testversion ist abgelaufen.","")</f>
        <v>Dies ist eine kostenlose Testversion von OFM-Transfer, die bis zum 1.6.2011 gültig ist. Die Testversion ist abgelaufen.</v>
      </c>
      <c r="C1" s="17"/>
      <c r="D1" s="17"/>
      <c r="G1" s="20"/>
      <c r="H1" s="21"/>
    </row>
    <row r="2" spans="3:21" ht="12.75">
      <c r="C2" s="23"/>
      <c r="D2" s="19" t="str">
        <f ca="1">IF($X$43&lt;&gt;INFO("Version"),"Eine neue Testversion ist unter","")</f>
        <v>Eine neue Testversion ist unter</v>
      </c>
      <c r="E2" s="24"/>
      <c r="F2" s="23"/>
      <c r="G2" s="23"/>
      <c r="H2" s="23"/>
      <c r="I2" s="23"/>
      <c r="J2" s="25"/>
      <c r="K2" s="26"/>
      <c r="L2" s="26"/>
      <c r="M2" s="26"/>
      <c r="N2" s="26"/>
      <c r="O2" s="26"/>
      <c r="P2" s="27"/>
      <c r="Q2" s="28" t="s">
        <v>14</v>
      </c>
      <c r="R2" s="28"/>
      <c r="S2" s="28"/>
      <c r="T2" s="26"/>
      <c r="U2" s="29" t="s">
        <v>15</v>
      </c>
    </row>
    <row r="3" spans="3:26" ht="12.75">
      <c r="C3" s="30"/>
      <c r="D3" s="19" t="str">
        <f ca="1">IF($X$43&lt;&gt;INFO("Version"),"www.logit-online.de/ofm-tools verfügbar.","")</f>
        <v>www.logit-online.de/ofm-tools verfügbar.</v>
      </c>
      <c r="E3" s="23"/>
      <c r="F3" s="23"/>
      <c r="G3" s="23"/>
      <c r="H3" s="31"/>
      <c r="I3" s="30"/>
      <c r="J3" s="32"/>
      <c r="K3" s="33" t="s">
        <v>16</v>
      </c>
      <c r="L3" s="34"/>
      <c r="M3" s="35" t="s">
        <v>17</v>
      </c>
      <c r="N3" s="36"/>
      <c r="O3" s="35" t="s">
        <v>18</v>
      </c>
      <c r="P3" s="35" t="s">
        <v>19</v>
      </c>
      <c r="Q3" s="35" t="s">
        <v>20</v>
      </c>
      <c r="R3" s="35"/>
      <c r="S3" s="35"/>
      <c r="T3" s="37"/>
      <c r="U3" s="38" t="s">
        <v>21</v>
      </c>
      <c r="V3" s="39"/>
      <c r="X3" s="40"/>
      <c r="Y3" s="40" t="s">
        <v>17</v>
      </c>
      <c r="Z3" s="53" t="s">
        <v>130</v>
      </c>
    </row>
    <row r="4" spans="3:26" ht="12.75">
      <c r="C4" s="23"/>
      <c r="D4" s="19" t="str">
        <f ca="1">IF($X$43&lt;&gt;INFO("Version"),"Zur Prüfung der Lizenz muss","")</f>
        <v>Zur Prüfung der Lizenz muss</v>
      </c>
      <c r="E4" s="23"/>
      <c r="F4" s="23"/>
      <c r="G4" s="23"/>
      <c r="H4" s="23"/>
      <c r="I4" s="23"/>
      <c r="J4" s="41"/>
      <c r="K4" s="243" t="s">
        <v>22</v>
      </c>
      <c r="L4" s="34"/>
      <c r="M4" s="42"/>
      <c r="N4" s="37"/>
      <c r="O4" s="43" t="s">
        <v>90</v>
      </c>
      <c r="P4" s="44">
        <v>3</v>
      </c>
      <c r="Q4" s="44">
        <v>120</v>
      </c>
      <c r="R4" s="45"/>
      <c r="S4" s="45"/>
      <c r="T4" s="37"/>
      <c r="U4" s="46">
        <v>0</v>
      </c>
      <c r="V4" s="39"/>
      <c r="X4" s="47"/>
      <c r="Y4" s="47">
        <f ca="1">IF(AND(ISNUMBER(M4)),M4,MOD(TODAY()-40311,35))</f>
        <v>11</v>
      </c>
      <c r="Z4" s="54">
        <v>47</v>
      </c>
    </row>
    <row r="5" spans="2:27" ht="12.75">
      <c r="B5" s="22"/>
      <c r="C5" s="23"/>
      <c r="D5" s="19" t="str">
        <f ca="1">IF($X$43&lt;&gt;INFO("Version"),"die Ausführung von Makros aktiviert sein.","")</f>
        <v>die Ausführung von Makros aktiviert sein.</v>
      </c>
      <c r="E5" s="24"/>
      <c r="F5" s="39"/>
      <c r="G5" s="39"/>
      <c r="H5" s="39"/>
      <c r="I5" s="23"/>
      <c r="J5" s="48"/>
      <c r="K5" s="49"/>
      <c r="L5" s="49"/>
      <c r="M5" s="49"/>
      <c r="N5" s="49"/>
      <c r="O5" s="49"/>
      <c r="P5" s="49"/>
      <c r="Q5" s="49"/>
      <c r="R5" s="49"/>
      <c r="S5" s="49"/>
      <c r="T5" s="49"/>
      <c r="U5" s="50"/>
      <c r="V5" s="51"/>
      <c r="X5" s="52" t="s">
        <v>23</v>
      </c>
      <c r="Z5" s="53" t="s">
        <v>24</v>
      </c>
      <c r="AA5" s="54" t="s">
        <v>25</v>
      </c>
    </row>
    <row r="6" spans="1:27" ht="12.75">
      <c r="A6" s="55"/>
      <c r="C6" s="56"/>
      <c r="D6" s="56"/>
      <c r="E6" s="56"/>
      <c r="F6" s="56"/>
      <c r="G6" s="57"/>
      <c r="H6" s="58"/>
      <c r="I6" s="59"/>
      <c r="J6" s="59"/>
      <c r="K6" s="59"/>
      <c r="L6" s="59"/>
      <c r="M6" s="59"/>
      <c r="N6" s="60"/>
      <c r="O6" s="57"/>
      <c r="P6" s="61"/>
      <c r="Q6" s="55"/>
      <c r="R6" s="55"/>
      <c r="S6" s="55"/>
      <c r="T6" s="62"/>
      <c r="U6" s="59"/>
      <c r="X6" s="63">
        <f>IF(O4="Liga&amp;Friendly",3,IF(O4="nur Training",5,4))</f>
        <v>3</v>
      </c>
      <c r="Z6" s="64" t="e">
        <f>MAX(AS9:AS38)</f>
        <v>#VALUE!</v>
      </c>
      <c r="AA6" s="54" t="str">
        <f>IF(ISNUMBER(Daten!A2),"Excel","OpenOffice")</f>
        <v>OpenOffice</v>
      </c>
    </row>
    <row r="7" spans="2:49" ht="12.75">
      <c r="B7" s="65"/>
      <c r="C7" s="66"/>
      <c r="D7" s="66"/>
      <c r="E7" s="67" t="s">
        <v>26</v>
      </c>
      <c r="F7" s="68"/>
      <c r="G7" s="68"/>
      <c r="H7" s="68"/>
      <c r="I7" s="69"/>
      <c r="J7" s="70"/>
      <c r="K7" s="67" t="s">
        <v>27</v>
      </c>
      <c r="L7" s="71"/>
      <c r="M7" s="65"/>
      <c r="N7" s="66"/>
      <c r="O7" s="72" t="s">
        <v>28</v>
      </c>
      <c r="P7" s="71"/>
      <c r="Q7" s="66"/>
      <c r="R7" s="66"/>
      <c r="S7" s="66"/>
      <c r="T7" s="73"/>
      <c r="U7" s="66"/>
      <c r="V7" s="74"/>
      <c r="AD7" s="65"/>
      <c r="AE7" s="66"/>
      <c r="AF7" s="66"/>
      <c r="AG7" s="67" t="s">
        <v>26</v>
      </c>
      <c r="AH7" s="68"/>
      <c r="AI7" s="68"/>
      <c r="AJ7" s="68"/>
      <c r="AK7" s="69"/>
      <c r="AL7" s="75"/>
      <c r="AM7" s="67" t="s">
        <v>27</v>
      </c>
      <c r="AN7" s="71"/>
      <c r="AO7" s="65"/>
      <c r="AP7" s="66"/>
      <c r="AQ7" s="72" t="s">
        <v>29</v>
      </c>
      <c r="AR7" s="71"/>
      <c r="AS7" s="74"/>
      <c r="AT7" s="66"/>
      <c r="AU7" s="66"/>
      <c r="AV7" s="66"/>
      <c r="AW7" s="76"/>
    </row>
    <row r="8" spans="2:51" s="3" customFormat="1" ht="25.5" customHeight="1">
      <c r="B8" s="77" t="s">
        <v>30</v>
      </c>
      <c r="C8" s="78" t="s">
        <v>31</v>
      </c>
      <c r="D8" s="78" t="s">
        <v>32</v>
      </c>
      <c r="E8" s="78" t="s">
        <v>14</v>
      </c>
      <c r="F8" s="78" t="s">
        <v>15</v>
      </c>
      <c r="G8" s="78" t="s">
        <v>33</v>
      </c>
      <c r="H8" s="78" t="s">
        <v>34</v>
      </c>
      <c r="I8" s="79" t="s">
        <v>35</v>
      </c>
      <c r="J8" s="80" t="s">
        <v>36</v>
      </c>
      <c r="K8" s="78" t="s">
        <v>37</v>
      </c>
      <c r="L8" s="79">
        <f>IF(ISNUMBER(L9),"Vorschlag Gebot","")</f>
      </c>
      <c r="M8" s="81" t="s">
        <v>38</v>
      </c>
      <c r="N8" s="78" t="s">
        <v>37</v>
      </c>
      <c r="O8" s="244" t="s">
        <v>39</v>
      </c>
      <c r="P8" s="80" t="s">
        <v>40</v>
      </c>
      <c r="Q8" s="82" t="s">
        <v>41</v>
      </c>
      <c r="R8" s="83" t="str">
        <f>Q8</f>
        <v> Gewinn</v>
      </c>
      <c r="S8" s="84" t="str">
        <f>K8</f>
        <v>Differenz</v>
      </c>
      <c r="T8" s="85" t="s">
        <v>42</v>
      </c>
      <c r="U8" s="80">
        <f>IF(ISNUMBER(U9),"Vorschlag Gebot","")</f>
      </c>
      <c r="V8" s="79" t="s">
        <v>126</v>
      </c>
      <c r="X8" s="86" t="s">
        <v>43</v>
      </c>
      <c r="Y8" s="86" t="s">
        <v>44</v>
      </c>
      <c r="Z8" s="87" t="s">
        <v>45</v>
      </c>
      <c r="AA8" s="87" t="s">
        <v>46</v>
      </c>
      <c r="AB8" s="88" t="s">
        <v>47</v>
      </c>
      <c r="AC8" s="89" t="s">
        <v>22</v>
      </c>
      <c r="AD8" s="77" t="s">
        <v>30</v>
      </c>
      <c r="AE8" s="78" t="s">
        <v>31</v>
      </c>
      <c r="AF8" s="78" t="s">
        <v>32</v>
      </c>
      <c r="AG8" s="78" t="s">
        <v>14</v>
      </c>
      <c r="AH8" s="78" t="s">
        <v>15</v>
      </c>
      <c r="AI8" s="78" t="s">
        <v>33</v>
      </c>
      <c r="AJ8" s="78" t="s">
        <v>34</v>
      </c>
      <c r="AK8" s="79" t="s">
        <v>35</v>
      </c>
      <c r="AL8" s="80" t="s">
        <v>36</v>
      </c>
      <c r="AM8" s="78" t="s">
        <v>37</v>
      </c>
      <c r="AN8" s="79" t="s">
        <v>48</v>
      </c>
      <c r="AO8" s="81" t="s">
        <v>38</v>
      </c>
      <c r="AP8" s="78" t="s">
        <v>37</v>
      </c>
      <c r="AQ8" s="80" t="s">
        <v>39</v>
      </c>
      <c r="AR8" s="80" t="s">
        <v>40</v>
      </c>
      <c r="AS8" s="90" t="s">
        <v>41</v>
      </c>
      <c r="AT8" s="83" t="str">
        <f aca="true" t="shared" si="0" ref="AT8:AT38">AS8</f>
        <v> Gewinn</v>
      </c>
      <c r="AU8" s="84" t="str">
        <f aca="true" t="shared" si="1" ref="AU8:AU38">AM8</f>
        <v>Differenz</v>
      </c>
      <c r="AV8" s="85" t="s">
        <v>42</v>
      </c>
      <c r="AW8" s="79" t="s">
        <v>48</v>
      </c>
      <c r="AY8" s="91" t="s">
        <v>49</v>
      </c>
    </row>
    <row r="9" spans="2:51" ht="12.75">
      <c r="B9" s="92">
        <f aca="true" t="shared" si="2" ref="B9:Q24">IF(ISERROR(INDEX($AD$9:$AW$38,$T9,COLUMN()-1)),"",INDEX($AD$9:$AW$38,$T9,COLUMN()-1))</f>
      </c>
      <c r="C9" s="93">
        <f t="shared" si="2"/>
      </c>
      <c r="D9" s="94">
        <f t="shared" si="2"/>
      </c>
      <c r="E9" s="95">
        <f t="shared" si="2"/>
      </c>
      <c r="F9" s="95">
        <f t="shared" si="2"/>
      </c>
      <c r="G9" s="96">
        <f t="shared" si="2"/>
      </c>
      <c r="H9" s="97">
        <f t="shared" si="2"/>
      </c>
      <c r="I9" s="98">
        <f t="shared" si="2"/>
      </c>
      <c r="J9" s="99">
        <f t="shared" si="2"/>
      </c>
      <c r="K9" s="100">
        <f t="shared" si="2"/>
      </c>
      <c r="L9" s="101">
        <f>IF(AND(ISNUMBER(K9),$K$4="fairer Preis"),ROUND(I9+1.1*(MIN(K10:K21)-K9),-3),"")</f>
      </c>
      <c r="M9" s="102">
        <f t="shared" si="2"/>
      </c>
      <c r="N9" s="103">
        <f t="shared" si="2"/>
      </c>
      <c r="O9" s="245">
        <f t="shared" si="2"/>
      </c>
      <c r="P9" s="105">
        <f t="shared" si="2"/>
      </c>
      <c r="Q9" s="106">
        <f t="shared" si="2"/>
      </c>
      <c r="R9" s="107"/>
      <c r="S9" s="107"/>
      <c r="T9" s="108">
        <f>IF($K$4="fairer Preis",IF(ISNUMBER(VLOOKUP($AB9,$AA$9:$AV$38,22,FALSE)-28),VLOOKUP($AB9,$AA$9:$AV$38,22,FALSE)-28,""),IF(ISNUMBER(VLOOKUP($AY9,$AC$9:$AV$38,20,FALSE)-28),VLOOKUP($AY9,$AC$9:$AV$38,20,FALSE)-28,""))</f>
      </c>
      <c r="U9" s="100">
        <f>IF(AND($K$4="Gewinn",ISNUMBER(ROUND(MAX(Q9/3,MIN(0.1*I9,1.2*(Q9-MAX(Q10:Q17))))+I9,0-3))),ROUND(MAX(Q9/3,MIN(0.1*I9,1.2*(Q9-MAX(Q10:Q17))))+I9,0-3),"")</f>
      </c>
      <c r="V9" s="346">
        <f>IF(ISNUMBER(Q9),(I9+Q9)/I9-1,"")</f>
      </c>
      <c r="X9" s="109" t="e">
        <f ca="1">IF(AND(X$44=INFO("GesamtSpeich"),AF9&gt;0),INDEX(Transferwert!$A:$XFD,FLOOR(AJ9,1)+1,VLOOKUP(AE9,Offsets,2,FALSE)+AF9-17)+(AJ9-FLOOR(AJ9,1))*(INDEX(Transferwert!$A:$XFD,1+FLOOR(AJ9,1)+1,VLOOKUP(AE9,Offsets,2,FALSE)+AF9-17)-INDEX(Transferwert!$A:$XFD,FLOOR(AJ9,1)+1,VLOOKUP(AE9,Offsets,2,FALSE)+AF9-17)),"")</f>
        <v>#VALUE!</v>
      </c>
      <c r="Y9" s="109" t="e">
        <f ca="1">IF(AND(AF9&gt;0,NOW()-FLOOR(TODAY(),1)-$Z$41&gt;0,NOW()-FLOOR(TODAY(),1)-$Z$41&lt;0.1),INDEX(Transferwert!$A:$XFD,FLOOR(AJ9,1)+1,VLOOKUP($AE9,Offsets,2,FALSE)+AF9+1-17)+(AJ9-FLOOR(AJ9,1))*(INDEX(Transferwert!$A:$XFD,1+FLOOR(AJ9,1)+1,VLOOKUP($AE9,Offsets,2,FALSE)+AF9+1-17)-INDEX(Transferwert!$A:$XFD,FLOOR(AJ9,1)+1,VLOOKUP($AE9,Offsets,2,FALSE)+AF9+1-17)),"")</f>
        <v>#VALUE!</v>
      </c>
      <c r="Z9" s="17" t="e">
        <f aca="true" t="shared" si="3" ref="Z9:Z38">IF(AS9=Z$6,ROW(),"")</f>
        <v>#VALUE!</v>
      </c>
      <c r="AA9" s="110">
        <f aca="true" t="shared" si="4" ref="AA9:AA38">IF(ISERROR(AM9*1),"",INT(AM9)+AV9*0.01)</f>
      </c>
      <c r="AB9" s="110" t="e">
        <f>SMALL($AA$9:$AA$38,ROW()-8)</f>
        <v>#NUM!</v>
      </c>
      <c r="AC9" s="110">
        <f aca="true" t="shared" si="5" ref="AC9:AC38">IF(ISERROR(AS9*1),"",INT(AS9)+AV9*0.01)</f>
      </c>
      <c r="AD9" s="111" t="e">
        <f>INDEX(Daten!$A$1:$U$1000,4+($AV9-29)*6+$Z$4-1,2)</f>
        <v>#VALUE!</v>
      </c>
      <c r="AE9" s="93" t="e">
        <f>IF($AA$6="OpenOffice",TRIM(INDEX(Daten!$A$1:$U$1000,5+($AV9-29)*6+$Z$4-1,2)),TRIM(INDEX(Daten!$A$1:$U$1000,1+($AV9-29)*1+$Z$4-1,8)))</f>
        <v>#VALUE!</v>
      </c>
      <c r="AF9" s="94" t="e">
        <f>IF($AA$6="OpenOffice",INDEX(Daten!$A$1:$U$1000,5+($AV9-29)*6+$Z$4-1,3),INDEX(Daten!$A$1:$U$1000,1+($AV9-29)*1+$Z$4-1,9))</f>
        <v>#VALUE!</v>
      </c>
      <c r="AG9" s="112" t="e">
        <f>IF($AA$6="OpenOffice",SUBSTITUTE(SUBSTITUTE(LEFT(INDEX(Daten!$A$1:$U$1000,5+($AV9-29)*6+$Z$4-1,5),6),".",""),"/",""),SUBSTITUTE(SUBSTITUTE(LEFT(INDEX(Daten!$A$1:$U$1000,1+($AV9-29)*1+$Z$4-1,11),6),".",""),"/",""))</f>
        <v>#VALUE!</v>
      </c>
      <c r="AH9" s="112" t="e">
        <f>IF($AA$6="OpenOffice",SUBSTITUTE(SUBSTITUTE(RIGHT(INDEX(Daten!$A$1:$U$1000,5+($AV9-29)*6+$Z$4-1,5),6),".",""),"/",""),SUBSTITUTE(SUBSTITUTE(RIGHT(INDEX(Daten!$A$1:$U$1000,1+($AV9-29)*1+$Z$4-1,11),6),".",""),"/",""))</f>
        <v>#VALUE!</v>
      </c>
      <c r="AI9" s="96" t="e">
        <f aca="true" t="shared" si="6" ref="AI9:AI36">IF(AF9&gt;0,235*SQRT(SQRT((AH9/AG9-0.4)))/200*AG9,"")</f>
        <v>#VALUE!</v>
      </c>
      <c r="AJ9" s="97" t="e">
        <f aca="true" t="shared" si="7" ref="AJ9:AJ38">FLOOR(VLOOKUP(AI9,Aufwertungsgrenzen,3)+(AI9-INDEX(Aufwertungsgrenzen,1+VLOOKUP(AI9,Aufwertungsgrenzen,3),1))/(INDEX(Aufwertungsgrenzen,1+VLOOKUP(AI9,Aufwertungsgrenzen,3)+1,1)-INDEX(Aufwertungsgrenzen,1+VLOOKUP(AI9,Aufwertungsgrenzen,3),1)),0.01)</f>
        <v>#VALUE!</v>
      </c>
      <c r="AK9" s="113" t="e">
        <f>IF($AA$6="OpenOffice",INDEX(Daten!$A$1:$U$1000,5+($AV9-29)*6+$Z$4-1,6),INDEX(Daten!$A$1:$U$1000,1+($AV9-29)*1+$Z$4-1,12))</f>
        <v>#VALUE!</v>
      </c>
      <c r="AL9" s="99" t="e">
        <f aca="true" t="shared" si="8" ref="AL9:AL38">IF(AF9&gt;0,Y9+(X9-Y9)*(34-$Y$4)/34,"")</f>
        <v>#VALUE!</v>
      </c>
      <c r="AM9" s="100" t="e">
        <f aca="true" t="shared" si="9" ref="AM9:AM38">IF(AF9&gt;0,AK9-AL9,"")</f>
        <v>#VALUE!</v>
      </c>
      <c r="AN9" s="101" t="e">
        <f aca="true" t="shared" si="10" ref="AN9:AN32">IF(AND(AF9&gt;0,MAX(AM10:AM15)&lt;&gt;0),ROUND(AK9+1.1*(MIN(AM10:AM15)-AM9),-3),"")</f>
        <v>#VALUE!</v>
      </c>
      <c r="AO9" s="102">
        <f aca="true" t="shared" si="11" ref="AO9:AO38">IF(ISNUMBER(AJ9),Y9+(X9-Y9)*(34-$Y$4)/34-(34-$Y$4)*VLOOKUP(FLOOR($AJ9,1),Gehaltsstruktur,2),"")</f>
      </c>
      <c r="AP9" s="103" t="e">
        <f>IF(AF9&gt;0,IF(AR9&gt;='OFM-Transfer'!$P$4,AK9-AO9,""),"")</f>
        <v>#VALUE!</v>
      </c>
      <c r="AQ9" s="104" t="e">
        <f>IF(AF9&gt;0,235*SQRT(SQRT(((AH9+$U$4+(35-Spieltag)*INDEX(Optionen,Offset_TP,1+IF(AF9&lt;27,0,1)+VLOOKUP($AE9,Mannschaftsteil,2,FALSE)))/(AG9+'OFM-Transfer'!$Q$4+(35-Spieltag)*(IF(OR($O$4="Liga&amp;Friendly",$O$4="nur Liga"),INDEX(Optionen,1,1+VLOOKUP($AE9,Mannschaftsteil,2,FALSE)),0)+IF(OR($O$4="Liga&amp;Friendly",$O$4="nur Friendly"),INDEX(Optionen,2,1+VLOOKUP($AE9,Mannschaftsteil,2,FALSE)),0)))-0.4)))/200*(AG9+'OFM-Transfer'!$Q$4+(35-Spieltag)*(IF(OR($O$4="Liga&amp;Friendly",$O$4="nur Liga"),INDEX(Optionen,1,1+VLOOKUP($AE9,Mannschaftsteil,2,FALSE)),0)+IF(OR($O$4="Liga&amp;Friendly",$O$4="nur Friendly"),INDEX(Optionen,2,1+VLOOKUP($AE9,Mannschaftsteil,2,FALSE)),0))),"")</f>
        <v>#VALUE!</v>
      </c>
      <c r="AR9" s="105">
        <f aca="true" t="shared" si="12" ref="AR9:AR38">IF(ISNUMBER(AQ9),FLOOR(VLOOKUP(AQ9,Aufwertungsgrenzen,3)+(AQ9-INDEX(Aufwertungsgrenzen,1+VLOOKUP(AQ9,Aufwertungsgrenzen,3),1))/(INDEX(Aufwertungsgrenzen,1+VLOOKUP(AQ9,Aufwertungsgrenzen,3)+1,1)-INDEX(Aufwertungsgrenzen,1+VLOOKUP(AQ9,Aufwertungsgrenzen,3),1)),0.01),"")</f>
      </c>
      <c r="AS9" s="114" t="e">
        <f>IF(AND(AF9&gt;0,AR9&gt;=$P$4),INDEX(Transferwert!$A:$XFD,INT(AR9)+1,VLOOKUP(AE9,Offsets,2,FALSE)+AF9+1-17)-AK9-(34-$Y$4)*VLOOKUP(FLOOR($AJ9,1),Gehaltsstruktur,2),"")</f>
        <v>#VALUE!</v>
      </c>
      <c r="AT9" s="107" t="e">
        <f t="shared" si="0"/>
        <v>#VALUE!</v>
      </c>
      <c r="AU9" s="107" t="e">
        <f t="shared" si="1"/>
        <v>#VALUE!</v>
      </c>
      <c r="AV9" s="115">
        <f ca="1">IF($X$43=INFO("Version"),29,"")</f>
      </c>
      <c r="AW9" s="116" t="e">
        <f>IF(AND(AF9&gt;0,AS9&gt;0,AR9&gt;='OFM-Transfer'!$P$4),ROUND(MIN(AS9/3,MAX(0.1*AK9,1.2*(AS9-MAX(AS10:AS17))))+AK9,0-3),"")</f>
        <v>#VALUE!</v>
      </c>
      <c r="AY9" s="110" t="e">
        <f>LARGE($AC$9:$AC$38,ROW()-8)</f>
        <v>#NUM!</v>
      </c>
    </row>
    <row r="10" spans="2:51" ht="12.75">
      <c r="B10" s="117">
        <f t="shared" si="2"/>
      </c>
      <c r="C10" s="118">
        <f t="shared" si="2"/>
      </c>
      <c r="D10" s="94">
        <f t="shared" si="2"/>
      </c>
      <c r="E10" s="112">
        <f t="shared" si="2"/>
      </c>
      <c r="F10" s="112">
        <f t="shared" si="2"/>
      </c>
      <c r="G10" s="104">
        <f t="shared" si="2"/>
      </c>
      <c r="H10" s="119">
        <f t="shared" si="2"/>
      </c>
      <c r="I10" s="120">
        <f t="shared" si="2"/>
      </c>
      <c r="J10" s="121">
        <f t="shared" si="2"/>
      </c>
      <c r="K10" s="122">
        <f t="shared" si="2"/>
      </c>
      <c r="L10" s="123">
        <f aca="true" t="shared" si="13" ref="L10:L38">IF(AND(ISNUMBER(K10),$K$4="fairer Preis"),ROUND(I10+1.1*(MIN(K11:K22)-K10),-3),"")</f>
      </c>
      <c r="M10" s="124">
        <f t="shared" si="2"/>
      </c>
      <c r="N10" s="125">
        <f t="shared" si="2"/>
      </c>
      <c r="O10" s="96">
        <f t="shared" si="2"/>
      </c>
      <c r="P10" s="105">
        <f t="shared" si="2"/>
      </c>
      <c r="Q10" s="126">
        <f t="shared" si="2"/>
      </c>
      <c r="R10" s="107"/>
      <c r="S10" s="107"/>
      <c r="T10" s="127">
        <f aca="true" t="shared" si="14" ref="T10:T38">IF($K$4="fairer Preis",IF(ISNUMBER(VLOOKUP($AB10,$AA$9:$AV$38,22,FALSE)-28),VLOOKUP($AB10,$AA$9:$AV$38,22,FALSE)-28,""),IF(ISNUMBER(VLOOKUP($AY10,$AC$9:$AV$38,20,FALSE)-28),VLOOKUP($AY10,$AC$9:$AV$38,20,FALSE)-28,""))</f>
      </c>
      <c r="U10" s="122">
        <f>IF(AND($K$4="Gewinn",ISNUMBER(ROUND(MAX(Q10/3,MIN(0.1*I10,1.2*(Q10-MAX(Q11:Q18))))+I10,0-3))),ROUND(MAX(Q10/3,MIN(0.1*I10,1.2*(Q10-MAX(Q11:Q18))))+I10,0-3),"")</f>
      </c>
      <c r="V10" s="347">
        <f aca="true" t="shared" si="15" ref="V10:V38">IF(ISNUMBER(Q10),(I10+Q10)/I10-1,"")</f>
      </c>
      <c r="X10" s="109" t="e">
        <f ca="1">IF(AND(X$44=INFO("GesamtSpeich"),AF10&gt;0),INDEX(Transferwert!$A:$XFD,FLOOR(AJ10,1)+1,VLOOKUP(AE10,Offsets,2,FALSE)+AF10-17)+(AJ10-FLOOR(AJ10,1))*(INDEX(Transferwert!$A:$XFD,1+FLOOR(AJ10,1)+1,VLOOKUP(AE10,Offsets,2,FALSE)+AF10-17)-INDEX(Transferwert!$A:$XFD,FLOOR(AJ10,1)+1,VLOOKUP(AE10,Offsets,2,FALSE)+AF10-17)),"")</f>
        <v>#VALUE!</v>
      </c>
      <c r="Y10" s="109" t="e">
        <f ca="1">IF(AND(AF10&gt;0,NOW()-FLOOR(TODAY(),1)-$Z$41&gt;0,NOW()-FLOOR(TODAY(),1)-$Z$41&lt;0.1),INDEX(Transferwert!$A:$XFD,FLOOR(AJ10,1)+1,VLOOKUP($AE10,Offsets,2,FALSE)+AF10+1-17)+(AJ10-FLOOR(AJ10,1))*(INDEX(Transferwert!$A:$XFD,1+FLOOR(AJ10,1)+1,VLOOKUP($AE10,Offsets,2,FALSE)+AF10+1-17)-INDEX(Transferwert!$A:$XFD,FLOOR(AJ10,1)+1,VLOOKUP($AE10,Offsets,2,FALSE)+AF10+1-17)),"")</f>
        <v>#VALUE!</v>
      </c>
      <c r="Z10" s="17" t="e">
        <f t="shared" si="3"/>
        <v>#VALUE!</v>
      </c>
      <c r="AA10" s="110">
        <f t="shared" si="4"/>
      </c>
      <c r="AB10" s="17" t="e">
        <f aca="true" t="shared" si="16" ref="AB10:AB38">SMALL($AA$9:$AA$38,ROW()-8)</f>
        <v>#NUM!</v>
      </c>
      <c r="AC10" s="110">
        <f t="shared" si="5"/>
      </c>
      <c r="AD10" s="128" t="e">
        <f>INDEX(Daten!$A$1:$U$1000,4+($AV10-29)*6+$Z$4-1,2)</f>
        <v>#VALUE!</v>
      </c>
      <c r="AE10" s="118" t="e">
        <f>IF($AA$6="OpenOffice",TRIM(INDEX(Daten!$A$1:$U$1000,5+($AV10-29)*6+$Z$4-1,2)),TRIM(INDEX(Daten!$A$1:$U$1000,1+($AV10-29)*1+$Z$4-1,8)))</f>
        <v>#VALUE!</v>
      </c>
      <c r="AF10" s="94" t="e">
        <f>IF($AA$6="OpenOffice",INDEX(Daten!$A$1:$U$1000,5+($AV10-29)*6+$Z$4-1,3),INDEX(Daten!$A$1:$U$1000,1+($AV10-29)*1+$Z$4-1,9))</f>
        <v>#VALUE!</v>
      </c>
      <c r="AG10" s="112" t="e">
        <f>IF($AA$6="OpenOffice",SUBSTITUTE(SUBSTITUTE(LEFT(INDEX(Daten!$A$1:$U$1000,5+($AV10-29)*6+$Z$4-1,5),6),".",""),"/",""),SUBSTITUTE(SUBSTITUTE(LEFT(INDEX(Daten!$A$1:$U$1000,1+($AV10-29)*1+$Z$4-1,11),6),".",""),"/",""))</f>
        <v>#VALUE!</v>
      </c>
      <c r="AH10" s="112" t="e">
        <f>IF($AA$6="OpenOffice",SUBSTITUTE(SUBSTITUTE(RIGHT(INDEX(Daten!$A$1:$U$1000,5+($AV10-29)*6+$Z$4-1,5),6),".",""),"/",""),SUBSTITUTE(SUBSTITUTE(RIGHT(INDEX(Daten!$A$1:$U$1000,1+($AV10-29)*1+$Z$4-1,11),6),".",""),"/",""))</f>
        <v>#VALUE!</v>
      </c>
      <c r="AI10" s="104" t="e">
        <f t="shared" si="6"/>
        <v>#VALUE!</v>
      </c>
      <c r="AJ10" s="119" t="e">
        <f t="shared" si="7"/>
        <v>#VALUE!</v>
      </c>
      <c r="AK10" s="129" t="e">
        <f>IF($AA$6="OpenOffice",INDEX(Daten!$A$1:$U$1000,5+($AV10-29)*6+$Z$4-1,6),INDEX(Daten!$A$1:$U$1000,1+($AV10-29)*1+$Z$4-1,12))</f>
        <v>#VALUE!</v>
      </c>
      <c r="AL10" s="121" t="e">
        <f t="shared" si="8"/>
        <v>#VALUE!</v>
      </c>
      <c r="AM10" s="122" t="e">
        <f t="shared" si="9"/>
        <v>#VALUE!</v>
      </c>
      <c r="AN10" s="123" t="e">
        <f t="shared" si="10"/>
        <v>#VALUE!</v>
      </c>
      <c r="AO10" s="124">
        <f t="shared" si="11"/>
      </c>
      <c r="AP10" s="125" t="e">
        <f>IF(AF10&gt;0,IF(AR10&gt;='OFM-Transfer'!$P$4,AK10-AO10,""),"")</f>
        <v>#VALUE!</v>
      </c>
      <c r="AQ10" s="104" t="e">
        <f>IF(AF10&gt;0,235*SQRT(SQRT(((AH10+$U$4+(35-Spieltag)*INDEX(Optionen,Offset_TP,1+IF(AF10&lt;27,0,1)+VLOOKUP($AE10,Mannschaftsteil,2,FALSE)))/(AG10+'OFM-Transfer'!$Q$4+(35-Spieltag)*(IF(OR($O$4="Liga&amp;Friendly",$O$4="nur Liga"),INDEX(Optionen,1,1+VLOOKUP($AE10,Mannschaftsteil,2,FALSE)),0)+IF(OR($O$4="Liga&amp;Friendly",$O$4="nur Friendly"),INDEX(Optionen,2,1+VLOOKUP($AE10,Mannschaftsteil,2,FALSE)),0)))-0.4)))/200*(AG10+'OFM-Transfer'!$Q$4+(35-Spieltag)*(IF(OR($O$4="Liga&amp;Friendly",$O$4="nur Liga"),INDEX(Optionen,1,1+VLOOKUP($AE10,Mannschaftsteil,2,FALSE)),0)+IF(OR($O$4="Liga&amp;Friendly",$O$4="nur Friendly"),INDEX(Optionen,2,1+VLOOKUP($AE10,Mannschaftsteil,2,FALSE)),0))),"")</f>
        <v>#VALUE!</v>
      </c>
      <c r="AR10" s="105">
        <f t="shared" si="12"/>
      </c>
      <c r="AS10" s="130" t="e">
        <f>IF(AND(AF10&gt;0,AR10&gt;=$P$4),INDEX(Transferwert!$A:$XFD,INT(AR10)+1,VLOOKUP(AE10,Offsets,2,FALSE)+AF10+1-17)-AK10-(34-$Y$4)*VLOOKUP(FLOOR($AJ10,1),Gehaltsstruktur,2),"")</f>
        <v>#VALUE!</v>
      </c>
      <c r="AT10" s="107" t="e">
        <f t="shared" si="0"/>
        <v>#VALUE!</v>
      </c>
      <c r="AU10" s="107" t="e">
        <f t="shared" si="1"/>
        <v>#VALUE!</v>
      </c>
      <c r="AV10" s="131">
        <f ca="1">IF($X$43=INFO("Version"),30,"")</f>
      </c>
      <c r="AW10" s="132" t="e">
        <f>IF(AND(AF10&gt;0,AS10&gt;0,AR10&gt;='OFM-Transfer'!$P$4),ROUND(MIN(AS10/3,MAX(0.1*AK10,1.2*(AS10-MAX(AS11:AS18))))+AK10,0-3),"")</f>
        <v>#VALUE!</v>
      </c>
      <c r="AY10" s="110" t="e">
        <f aca="true" t="shared" si="17" ref="AY10:AY38">LARGE($AC$9:$AC$38,ROW()-8)</f>
        <v>#NUM!</v>
      </c>
    </row>
    <row r="11" spans="2:51" ht="12.75">
      <c r="B11" s="117">
        <f t="shared" si="2"/>
      </c>
      <c r="C11" s="118">
        <f t="shared" si="2"/>
      </c>
      <c r="D11" s="94">
        <f t="shared" si="2"/>
      </c>
      <c r="E11" s="112">
        <f t="shared" si="2"/>
      </c>
      <c r="F11" s="112">
        <f t="shared" si="2"/>
      </c>
      <c r="G11" s="104">
        <f t="shared" si="2"/>
      </c>
      <c r="H11" s="119">
        <f t="shared" si="2"/>
      </c>
      <c r="I11" s="120">
        <f t="shared" si="2"/>
      </c>
      <c r="J11" s="121">
        <f t="shared" si="2"/>
      </c>
      <c r="K11" s="122">
        <f t="shared" si="2"/>
      </c>
      <c r="L11" s="133">
        <f t="shared" si="13"/>
      </c>
      <c r="M11" s="124">
        <f t="shared" si="2"/>
      </c>
      <c r="N11" s="125">
        <f t="shared" si="2"/>
      </c>
      <c r="O11" s="104">
        <f t="shared" si="2"/>
      </c>
      <c r="P11" s="105">
        <f t="shared" si="2"/>
      </c>
      <c r="Q11" s="126">
        <f t="shared" si="2"/>
      </c>
      <c r="R11" s="107"/>
      <c r="S11" s="107"/>
      <c r="T11" s="131">
        <f t="shared" si="14"/>
      </c>
      <c r="U11" s="122">
        <f>IF(AND($K$4="Gewinn",ISNUMBER(ROUND(MAX(Q11/3,MIN(0.1*I11,1.2*(Q11-MAX(Q12:Q19))))+I11,0-3))),ROUND(MAX(Q11/3,MIN(0.1*I11,1.2*(Q11-MAX(Q12:Q19))))+I11,0-3),"")</f>
      </c>
      <c r="V11" s="347">
        <f t="shared" si="15"/>
      </c>
      <c r="X11" s="109" t="e">
        <f ca="1">IF(AND(X$44=INFO("GesamtSpeich"),AF11&gt;0),INDEX(Transferwert!$A:$XFD,FLOOR(AJ11,1)+1,VLOOKUP(AE11,Offsets,2,FALSE)+AF11-17)+(AJ11-FLOOR(AJ11,1))*(INDEX(Transferwert!$A:$XFD,1+FLOOR(AJ11,1)+1,VLOOKUP(AE11,Offsets,2,FALSE)+AF11-17)-INDEX(Transferwert!$A:$XFD,FLOOR(AJ11,1)+1,VLOOKUP(AE11,Offsets,2,FALSE)+AF11-17)),"")</f>
        <v>#VALUE!</v>
      </c>
      <c r="Y11" s="109" t="e">
        <f ca="1">IF(AND(AF11&gt;0,NOW()-FLOOR(TODAY(),1)-$Z$41&gt;0,NOW()-FLOOR(TODAY(),1)-$Z$41&lt;0.1),INDEX(Transferwert!$A:$XFD,FLOOR(AJ11,1)+1,VLOOKUP($AE11,Offsets,2,FALSE)+AF11+1-17)+(AJ11-FLOOR(AJ11,1))*(INDEX(Transferwert!$A:$XFD,1+FLOOR(AJ11,1)+1,VLOOKUP($AE11,Offsets,2,FALSE)+AF11+1-17)-INDEX(Transferwert!$A:$XFD,FLOOR(AJ11,1)+1,VLOOKUP($AE11,Offsets,2,FALSE)+AF11+1-17)),"")</f>
        <v>#VALUE!</v>
      </c>
      <c r="Z11" s="17" t="e">
        <f t="shared" si="3"/>
        <v>#VALUE!</v>
      </c>
      <c r="AA11" s="110">
        <f t="shared" si="4"/>
      </c>
      <c r="AB11" s="17" t="e">
        <f t="shared" si="16"/>
        <v>#NUM!</v>
      </c>
      <c r="AC11" s="110">
        <f t="shared" si="5"/>
      </c>
      <c r="AD11" s="128" t="e">
        <f>INDEX(Daten!$A$1:$U$1000,4+($AV11-29)*6+$Z$4-1,2)</f>
        <v>#VALUE!</v>
      </c>
      <c r="AE11" s="118" t="e">
        <f>IF($AA$6="OpenOffice",TRIM(INDEX(Daten!$A$1:$U$1000,5+($AV11-29)*6+$Z$4-1,2)),TRIM(INDEX(Daten!$A$1:$U$1000,1+($AV11-29)*1+$Z$4-1,8)))</f>
        <v>#VALUE!</v>
      </c>
      <c r="AF11" s="94" t="e">
        <f>IF($AA$6="OpenOffice",INDEX(Daten!$A$1:$U$1000,5+($AV11-29)*6+$Z$4-1,3),INDEX(Daten!$A$1:$U$1000,1+($AV11-29)*1+$Z$4-1,9))</f>
        <v>#VALUE!</v>
      </c>
      <c r="AG11" s="112" t="e">
        <f>IF($AA$6="OpenOffice",SUBSTITUTE(SUBSTITUTE(LEFT(INDEX(Daten!$A$1:$U$1000,5+($AV11-29)*6+$Z$4-1,5),6),".",""),"/",""),SUBSTITUTE(SUBSTITUTE(LEFT(INDEX(Daten!$A$1:$U$1000,1+($AV11-29)*1+$Z$4-1,11),6),".",""),"/",""))</f>
        <v>#VALUE!</v>
      </c>
      <c r="AH11" s="112" t="e">
        <f>IF($AA$6="OpenOffice",SUBSTITUTE(SUBSTITUTE(RIGHT(INDEX(Daten!$A$1:$U$1000,5+($AV11-29)*6+$Z$4-1,5),6),".",""),"/",""),SUBSTITUTE(SUBSTITUTE(RIGHT(INDEX(Daten!$A$1:$U$1000,1+($AV11-29)*1+$Z$4-1,11),6),".",""),"/",""))</f>
        <v>#VALUE!</v>
      </c>
      <c r="AI11" s="104" t="e">
        <f t="shared" si="6"/>
        <v>#VALUE!</v>
      </c>
      <c r="AJ11" s="119" t="e">
        <f t="shared" si="7"/>
        <v>#VALUE!</v>
      </c>
      <c r="AK11" s="129" t="e">
        <f>IF($AA$6="OpenOffice",INDEX(Daten!$A$1:$U$1000,5+($AV11-29)*6+$Z$4-1,6),INDEX(Daten!$A$1:$U$1000,1+($AV11-29)*1+$Z$4-1,12))</f>
        <v>#VALUE!</v>
      </c>
      <c r="AL11" s="121" t="e">
        <f t="shared" si="8"/>
        <v>#VALUE!</v>
      </c>
      <c r="AM11" s="122" t="e">
        <f t="shared" si="9"/>
        <v>#VALUE!</v>
      </c>
      <c r="AN11" s="133" t="e">
        <f t="shared" si="10"/>
        <v>#VALUE!</v>
      </c>
      <c r="AO11" s="124">
        <f t="shared" si="11"/>
      </c>
      <c r="AP11" s="125" t="e">
        <f>IF(AF11&gt;0,IF(AR11&gt;='OFM-Transfer'!$P$4,AK11-AO11,""),"")</f>
        <v>#VALUE!</v>
      </c>
      <c r="AQ11" s="104" t="e">
        <f>IF(AF11&gt;0,235*SQRT(SQRT(((AH11+$U$4+(35-Spieltag)*INDEX(Optionen,Offset_TP,1+IF(AF11&lt;27,0,1)+VLOOKUP($AE11,Mannschaftsteil,2,FALSE)))/(AG11+'OFM-Transfer'!$Q$4+(35-Spieltag)*(IF(OR($O$4="Liga&amp;Friendly",$O$4="nur Liga"),INDEX(Optionen,1,1+VLOOKUP($AE11,Mannschaftsteil,2,FALSE)),0)+IF(OR($O$4="Liga&amp;Friendly",$O$4="nur Friendly"),INDEX(Optionen,2,1+VLOOKUP($AE11,Mannschaftsteil,2,FALSE)),0)))-0.4)))/200*(AG11+'OFM-Transfer'!$Q$4+(35-Spieltag)*(IF(OR($O$4="Liga&amp;Friendly",$O$4="nur Liga"),INDEX(Optionen,1,1+VLOOKUP($AE11,Mannschaftsteil,2,FALSE)),0)+IF(OR($O$4="Liga&amp;Friendly",$O$4="nur Friendly"),INDEX(Optionen,2,1+VLOOKUP($AE11,Mannschaftsteil,2,FALSE)),0))),"")</f>
        <v>#VALUE!</v>
      </c>
      <c r="AR11" s="105">
        <f t="shared" si="12"/>
      </c>
      <c r="AS11" s="130" t="e">
        <f>IF(AND(AF11&gt;0,AR11&gt;=$P$4),INDEX(Transferwert!$A:$XFD,INT(AR11)+1,VLOOKUP(AE11,Offsets,2,FALSE)+AF11+1-17)-AK11-(34-$Y$4)*VLOOKUP(FLOOR($AJ11,1),Gehaltsstruktur,2),"")</f>
        <v>#VALUE!</v>
      </c>
      <c r="AT11" s="107" t="e">
        <f t="shared" si="0"/>
        <v>#VALUE!</v>
      </c>
      <c r="AU11" s="107" t="e">
        <f t="shared" si="1"/>
        <v>#VALUE!</v>
      </c>
      <c r="AV11" s="131">
        <f ca="1">IF($X$43=INFO("Version"),31,"")</f>
      </c>
      <c r="AW11" s="132" t="e">
        <f>IF(AND(AF11&gt;0,AS11&gt;0,AR11&gt;='OFM-Transfer'!$P$4),ROUND(MIN(AS11/3,MAX(0.1*AK11,1.2*(AS11-MAX(AS12:AS19))))+AK11,0-3),"")</f>
        <v>#VALUE!</v>
      </c>
      <c r="AY11" s="110" t="e">
        <f t="shared" si="17"/>
        <v>#NUM!</v>
      </c>
    </row>
    <row r="12" spans="2:51" ht="12.75">
      <c r="B12" s="117">
        <f t="shared" si="2"/>
      </c>
      <c r="C12" s="118">
        <f t="shared" si="2"/>
      </c>
      <c r="D12" s="94">
        <f t="shared" si="2"/>
      </c>
      <c r="E12" s="112">
        <f t="shared" si="2"/>
      </c>
      <c r="F12" s="112">
        <f t="shared" si="2"/>
      </c>
      <c r="G12" s="104">
        <f t="shared" si="2"/>
      </c>
      <c r="H12" s="119">
        <f t="shared" si="2"/>
      </c>
      <c r="I12" s="120">
        <f t="shared" si="2"/>
      </c>
      <c r="J12" s="121">
        <f t="shared" si="2"/>
      </c>
      <c r="K12" s="122">
        <f t="shared" si="2"/>
      </c>
      <c r="L12" s="123">
        <f t="shared" si="13"/>
      </c>
      <c r="M12" s="124">
        <f t="shared" si="2"/>
      </c>
      <c r="N12" s="125">
        <f t="shared" si="2"/>
      </c>
      <c r="O12" s="104">
        <f t="shared" si="2"/>
      </c>
      <c r="P12" s="105">
        <f t="shared" si="2"/>
      </c>
      <c r="Q12" s="126">
        <f t="shared" si="2"/>
      </c>
      <c r="R12" s="107"/>
      <c r="S12" s="107"/>
      <c r="T12" s="131">
        <f t="shared" si="14"/>
      </c>
      <c r="U12" s="122">
        <f aca="true" t="shared" si="18" ref="U12:U38">IF(AND($K$4="Gewinn",ISNUMBER(ROUND(MAX(Q12/3,MIN(0.1*I12,1.2*(Q12-MAX(Q13:Q20))))+I12,0-3))),ROUND(MAX(Q12/3,MIN(0.1*I12,1.2*(Q12-MAX(Q13:Q20))))+I12,0-3),"")</f>
      </c>
      <c r="V12" s="347">
        <f t="shared" si="15"/>
      </c>
      <c r="X12" s="109" t="e">
        <f ca="1">IF(AND(X$44=INFO("GesamtSpeich"),AF12&gt;0),INDEX(Transferwert!$A:$XFD,FLOOR(AJ12,1)+1,VLOOKUP(AE12,Offsets,2,FALSE)+AF12-17)+(AJ12-FLOOR(AJ12,1))*(INDEX(Transferwert!$A:$XFD,1+FLOOR(AJ12,1)+1,VLOOKUP(AE12,Offsets,2,FALSE)+AF12-17)-INDEX(Transferwert!$A:$XFD,FLOOR(AJ12,1)+1,VLOOKUP(AE12,Offsets,2,FALSE)+AF12-17)),"")</f>
        <v>#VALUE!</v>
      </c>
      <c r="Y12" s="109" t="e">
        <f ca="1">IF(AND(AF12&gt;0,NOW()-FLOOR(TODAY(),1)-$Z$41&gt;0,NOW()-FLOOR(TODAY(),1)-$Z$41&lt;0.1),INDEX(Transferwert!$A:$XFD,FLOOR(AJ12,1)+1,VLOOKUP($AE12,Offsets,2,FALSE)+AF12+1-17)+(AJ12-FLOOR(AJ12,1))*(INDEX(Transferwert!$A:$XFD,1+FLOOR(AJ12,1)+1,VLOOKUP($AE12,Offsets,2,FALSE)+AF12+1-17)-INDEX(Transferwert!$A:$XFD,FLOOR(AJ12,1)+1,VLOOKUP($AE12,Offsets,2,FALSE)+AF12+1-17)),"")</f>
        <v>#VALUE!</v>
      </c>
      <c r="Z12" s="17" t="e">
        <f t="shared" si="3"/>
        <v>#VALUE!</v>
      </c>
      <c r="AA12" s="110">
        <f t="shared" si="4"/>
      </c>
      <c r="AB12" s="17" t="e">
        <f t="shared" si="16"/>
        <v>#NUM!</v>
      </c>
      <c r="AC12" s="110">
        <f t="shared" si="5"/>
      </c>
      <c r="AD12" s="128" t="e">
        <f>INDEX(Daten!$A$1:$U$1000,4+($AV12-29)*6+$Z$4-1,2)</f>
        <v>#VALUE!</v>
      </c>
      <c r="AE12" s="118" t="e">
        <f>IF($AA$6="OpenOffice",TRIM(INDEX(Daten!$A$1:$U$1000,5+($AV12-29)*6+$Z$4-1,2)),TRIM(INDEX(Daten!$A$1:$U$1000,1+($AV12-29)*1+$Z$4-1,8)))</f>
        <v>#VALUE!</v>
      </c>
      <c r="AF12" s="94" t="e">
        <f>IF($AA$6="OpenOffice",INDEX(Daten!$A$1:$U$1000,5+($AV12-29)*6+$Z$4-1,3),INDEX(Daten!$A$1:$U$1000,1+($AV12-29)*1+$Z$4-1,9))</f>
        <v>#VALUE!</v>
      </c>
      <c r="AG12" s="112" t="e">
        <f>IF($AA$6="OpenOffice",SUBSTITUTE(SUBSTITUTE(LEFT(INDEX(Daten!$A$1:$U$1000,5+($AV12-29)*6+$Z$4-1,5),6),".",""),"/",""),SUBSTITUTE(SUBSTITUTE(LEFT(INDEX(Daten!$A$1:$U$1000,1+($AV12-29)*1+$Z$4-1,11),6),".",""),"/",""))</f>
        <v>#VALUE!</v>
      </c>
      <c r="AH12" s="112" t="e">
        <f>IF($AA$6="OpenOffice",SUBSTITUTE(SUBSTITUTE(RIGHT(INDEX(Daten!$A$1:$U$1000,5+($AV12-29)*6+$Z$4-1,5),6),".",""),"/",""),SUBSTITUTE(SUBSTITUTE(RIGHT(INDEX(Daten!$A$1:$U$1000,1+($AV12-29)*1+$Z$4-1,11),6),".",""),"/",""))</f>
        <v>#VALUE!</v>
      </c>
      <c r="AI12" s="104" t="e">
        <f t="shared" si="6"/>
        <v>#VALUE!</v>
      </c>
      <c r="AJ12" s="119" t="e">
        <f t="shared" si="7"/>
        <v>#VALUE!</v>
      </c>
      <c r="AK12" s="129" t="e">
        <f>IF($AA$6="OpenOffice",INDEX(Daten!$A$1:$U$1000,5+($AV12-29)*6+$Z$4-1,6),INDEX(Daten!$A$1:$U$1000,1+($AV12-29)*1+$Z$4-1,12))</f>
        <v>#VALUE!</v>
      </c>
      <c r="AL12" s="121" t="e">
        <f t="shared" si="8"/>
        <v>#VALUE!</v>
      </c>
      <c r="AM12" s="122" t="e">
        <f t="shared" si="9"/>
        <v>#VALUE!</v>
      </c>
      <c r="AN12" s="123" t="e">
        <f t="shared" si="10"/>
        <v>#VALUE!</v>
      </c>
      <c r="AO12" s="124">
        <f t="shared" si="11"/>
      </c>
      <c r="AP12" s="125" t="e">
        <f>IF(AF12&gt;0,IF(AR12&gt;='OFM-Transfer'!$P$4,AK12-AO12,""),"")</f>
        <v>#VALUE!</v>
      </c>
      <c r="AQ12" s="104" t="e">
        <f>IF(AF12&gt;0,235*SQRT(SQRT(((AH12+$U$4+(35-Spieltag)*INDEX(Optionen,Offset_TP,1+IF(AF12&lt;27,0,1)+VLOOKUP($AE12,Mannschaftsteil,2,FALSE)))/(AG12+'OFM-Transfer'!$Q$4+(35-Spieltag)*(IF(OR($O$4="Liga&amp;Friendly",$O$4="nur Liga"),INDEX(Optionen,1,1+VLOOKUP($AE12,Mannschaftsteil,2,FALSE)),0)+IF(OR($O$4="Liga&amp;Friendly",$O$4="nur Friendly"),INDEX(Optionen,2,1+VLOOKUP($AE12,Mannschaftsteil,2,FALSE)),0)))-0.4)))/200*(AG12+'OFM-Transfer'!$Q$4+(35-Spieltag)*(IF(OR($O$4="Liga&amp;Friendly",$O$4="nur Liga"),INDEX(Optionen,1,1+VLOOKUP($AE12,Mannschaftsteil,2,FALSE)),0)+IF(OR($O$4="Liga&amp;Friendly",$O$4="nur Friendly"),INDEX(Optionen,2,1+VLOOKUP($AE12,Mannschaftsteil,2,FALSE)),0))),"")</f>
        <v>#VALUE!</v>
      </c>
      <c r="AR12" s="105">
        <f t="shared" si="12"/>
      </c>
      <c r="AS12" s="130" t="e">
        <f>IF(AND(AF12&gt;0,AR12&gt;=$P$4),INDEX(Transferwert!$A:$XFD,INT(AR12)+1,VLOOKUP(AE12,Offsets,2,FALSE)+AF12+1-17)-AK12-(34-$Y$4)*VLOOKUP(FLOOR($AJ12,1),Gehaltsstruktur,2),"")</f>
        <v>#VALUE!</v>
      </c>
      <c r="AT12" s="107" t="e">
        <f t="shared" si="0"/>
        <v>#VALUE!</v>
      </c>
      <c r="AU12" s="107" t="e">
        <f t="shared" si="1"/>
        <v>#VALUE!</v>
      </c>
      <c r="AV12" s="131">
        <f ca="1">IF($X$43=INFO("Version"),32,"")</f>
      </c>
      <c r="AW12" s="132" t="e">
        <f>IF(AND(AF12&gt;0,AS12&gt;0,AR12&gt;='OFM-Transfer'!$P$4),ROUND(MIN(AS12/3,MAX(0.1*AK12,1.2*(AS12-MAX(AS13:AS20))))+AK12,0-3),"")</f>
        <v>#VALUE!</v>
      </c>
      <c r="AY12" s="110" t="e">
        <f t="shared" si="17"/>
        <v>#NUM!</v>
      </c>
    </row>
    <row r="13" spans="2:51" ht="12.75">
      <c r="B13" s="117">
        <f t="shared" si="2"/>
      </c>
      <c r="C13" s="118">
        <f t="shared" si="2"/>
      </c>
      <c r="D13" s="94">
        <f t="shared" si="2"/>
      </c>
      <c r="E13" s="112">
        <f t="shared" si="2"/>
      </c>
      <c r="F13" s="112">
        <f t="shared" si="2"/>
      </c>
      <c r="G13" s="104">
        <f t="shared" si="2"/>
      </c>
      <c r="H13" s="119">
        <f t="shared" si="2"/>
      </c>
      <c r="I13" s="120">
        <f t="shared" si="2"/>
      </c>
      <c r="J13" s="121">
        <f t="shared" si="2"/>
      </c>
      <c r="K13" s="122">
        <f t="shared" si="2"/>
      </c>
      <c r="L13" s="123">
        <f t="shared" si="13"/>
      </c>
      <c r="M13" s="124">
        <f t="shared" si="2"/>
      </c>
      <c r="N13" s="125">
        <f t="shared" si="2"/>
      </c>
      <c r="O13" s="104">
        <f t="shared" si="2"/>
      </c>
      <c r="P13" s="105">
        <f t="shared" si="2"/>
      </c>
      <c r="Q13" s="126">
        <f t="shared" si="2"/>
      </c>
      <c r="R13" s="107"/>
      <c r="S13" s="107"/>
      <c r="T13" s="131">
        <f t="shared" si="14"/>
      </c>
      <c r="U13" s="122">
        <f t="shared" si="18"/>
      </c>
      <c r="V13" s="347">
        <f t="shared" si="15"/>
      </c>
      <c r="X13" s="109" t="e">
        <f ca="1">IF(AND(X$44=INFO("GesamtSpeich"),AF13&gt;0),INDEX(Transferwert!$A:$XFD,FLOOR(AJ13,1)+1,VLOOKUP(AE13,Offsets,2,FALSE)+AF13-17)+(AJ13-FLOOR(AJ13,1))*(INDEX(Transferwert!$A:$XFD,1+FLOOR(AJ13,1)+1,VLOOKUP(AE13,Offsets,2,FALSE)+AF13-17)-INDEX(Transferwert!$A:$XFD,FLOOR(AJ13,1)+1,VLOOKUP(AE13,Offsets,2,FALSE)+AF13-17)),"")</f>
        <v>#VALUE!</v>
      </c>
      <c r="Y13" s="109" t="e">
        <f ca="1">IF(AND(AF13&gt;0,NOW()-FLOOR(TODAY(),1)-$Z$41&gt;0,NOW()-FLOOR(TODAY(),1)-$Z$41&lt;0.1),INDEX(Transferwert!$A:$XFD,FLOOR(AJ13,1)+1,VLOOKUP($AE13,Offsets,2,FALSE)+AF13+1-17)+(AJ13-FLOOR(AJ13,1))*(INDEX(Transferwert!$A:$XFD,1+FLOOR(AJ13,1)+1,VLOOKUP($AE13,Offsets,2,FALSE)+AF13+1-17)-INDEX(Transferwert!$A:$XFD,FLOOR(AJ13,1)+1,VLOOKUP($AE13,Offsets,2,FALSE)+AF13+1-17)),"")</f>
        <v>#VALUE!</v>
      </c>
      <c r="Z13" s="17" t="e">
        <f t="shared" si="3"/>
        <v>#VALUE!</v>
      </c>
      <c r="AA13" s="110">
        <f t="shared" si="4"/>
      </c>
      <c r="AB13" s="17" t="e">
        <f t="shared" si="16"/>
        <v>#NUM!</v>
      </c>
      <c r="AC13" s="110">
        <f t="shared" si="5"/>
      </c>
      <c r="AD13" s="128" t="e">
        <f>INDEX(Daten!$A$1:$U$1000,4+($AV13-29)*6+$Z$4-1,2)</f>
        <v>#VALUE!</v>
      </c>
      <c r="AE13" s="118" t="e">
        <f>IF($AA$6="OpenOffice",TRIM(INDEX(Daten!$A$1:$U$1000,5+($AV13-29)*6+$Z$4-1,2)),TRIM(INDEX(Daten!$A$1:$U$1000,1+($AV13-29)*1+$Z$4-1,8)))</f>
        <v>#VALUE!</v>
      </c>
      <c r="AF13" s="94" t="e">
        <f>IF($AA$6="OpenOffice",INDEX(Daten!$A$1:$U$1000,5+($AV13-29)*6+$Z$4-1,3),INDEX(Daten!$A$1:$U$1000,1+($AV13-29)*1+$Z$4-1,9))</f>
        <v>#VALUE!</v>
      </c>
      <c r="AG13" s="112" t="e">
        <f>IF($AA$6="OpenOffice",SUBSTITUTE(SUBSTITUTE(LEFT(INDEX(Daten!$A$1:$U$1000,5+($AV13-29)*6+$Z$4-1,5),6),".",""),"/",""),SUBSTITUTE(SUBSTITUTE(LEFT(INDEX(Daten!$A$1:$U$1000,1+($AV13-29)*1+$Z$4-1,11),6),".",""),"/",""))</f>
        <v>#VALUE!</v>
      </c>
      <c r="AH13" s="112" t="e">
        <f>IF($AA$6="OpenOffice",SUBSTITUTE(SUBSTITUTE(RIGHT(INDEX(Daten!$A$1:$U$1000,5+($AV13-29)*6+$Z$4-1,5),6),".",""),"/",""),SUBSTITUTE(SUBSTITUTE(RIGHT(INDEX(Daten!$A$1:$U$1000,1+($AV13-29)*1+$Z$4-1,11),6),".",""),"/",""))</f>
        <v>#VALUE!</v>
      </c>
      <c r="AI13" s="104" t="e">
        <f t="shared" si="6"/>
        <v>#VALUE!</v>
      </c>
      <c r="AJ13" s="119" t="e">
        <f t="shared" si="7"/>
        <v>#VALUE!</v>
      </c>
      <c r="AK13" s="129" t="e">
        <f>IF($AA$6="OpenOffice",INDEX(Daten!$A$1:$U$1000,5+($AV13-29)*6+$Z$4-1,6),INDEX(Daten!$A$1:$U$1000,1+($AV13-29)*1+$Z$4-1,12))</f>
        <v>#VALUE!</v>
      </c>
      <c r="AL13" s="121" t="e">
        <f t="shared" si="8"/>
        <v>#VALUE!</v>
      </c>
      <c r="AM13" s="122" t="e">
        <f t="shared" si="9"/>
        <v>#VALUE!</v>
      </c>
      <c r="AN13" s="123" t="e">
        <f t="shared" si="10"/>
        <v>#VALUE!</v>
      </c>
      <c r="AO13" s="124">
        <f t="shared" si="11"/>
      </c>
      <c r="AP13" s="125" t="e">
        <f>IF(AF13&gt;0,IF(AR13&gt;='OFM-Transfer'!$P$4,AK13-AO13,""),"")</f>
        <v>#VALUE!</v>
      </c>
      <c r="AQ13" s="104" t="e">
        <f>IF(AF13&gt;0,235*SQRT(SQRT(((AH13+$U$4+(35-Spieltag)*INDEX(Optionen,Offset_TP,1+IF(AF13&lt;27,0,1)+VLOOKUP($AE13,Mannschaftsteil,2,FALSE)))/(AG13+'OFM-Transfer'!$Q$4+(35-Spieltag)*(IF(OR($O$4="Liga&amp;Friendly",$O$4="nur Liga"),INDEX(Optionen,1,1+VLOOKUP($AE13,Mannschaftsteil,2,FALSE)),0)+IF(OR($O$4="Liga&amp;Friendly",$O$4="nur Friendly"),INDEX(Optionen,2,1+VLOOKUP($AE13,Mannschaftsteil,2,FALSE)),0)))-0.4)))/200*(AG13+'OFM-Transfer'!$Q$4+(35-Spieltag)*(IF(OR($O$4="Liga&amp;Friendly",$O$4="nur Liga"),INDEX(Optionen,1,1+VLOOKUP($AE13,Mannschaftsteil,2,FALSE)),0)+IF(OR($O$4="Liga&amp;Friendly",$O$4="nur Friendly"),INDEX(Optionen,2,1+VLOOKUP($AE13,Mannschaftsteil,2,FALSE)),0))),"")</f>
        <v>#VALUE!</v>
      </c>
      <c r="AR13" s="105">
        <f t="shared" si="12"/>
      </c>
      <c r="AS13" s="130" t="e">
        <f>IF(AND(AF13&gt;0,AR13&gt;=$P$4),INDEX(Transferwert!$A:$XFD,INT(AR13)+1,VLOOKUP(AE13,Offsets,2,FALSE)+AF13+1-17)-AK13-(34-$Y$4)*VLOOKUP(FLOOR($AJ13,1),Gehaltsstruktur,2),"")</f>
        <v>#VALUE!</v>
      </c>
      <c r="AT13" s="107" t="e">
        <f t="shared" si="0"/>
        <v>#VALUE!</v>
      </c>
      <c r="AU13" s="107" t="e">
        <f t="shared" si="1"/>
        <v>#VALUE!</v>
      </c>
      <c r="AV13" s="131">
        <f ca="1">IF($X$43=INFO("Version"),33,"")</f>
      </c>
      <c r="AW13" s="132" t="e">
        <f>IF(AND(AF13&gt;0,AS13&gt;0,AR13&gt;='OFM-Transfer'!$P$4),ROUND(MIN(AS13/3,MAX(0.1*AK13,1.2*(AS13-MAX(AS14:AS21))))+AK13,0-3),"")</f>
        <v>#VALUE!</v>
      </c>
      <c r="AY13" s="110" t="e">
        <f t="shared" si="17"/>
        <v>#NUM!</v>
      </c>
    </row>
    <row r="14" spans="2:51" ht="12.75">
      <c r="B14" s="117">
        <f t="shared" si="2"/>
      </c>
      <c r="C14" s="118">
        <f t="shared" si="2"/>
      </c>
      <c r="D14" s="94">
        <f t="shared" si="2"/>
      </c>
      <c r="E14" s="112">
        <f t="shared" si="2"/>
      </c>
      <c r="F14" s="112">
        <f t="shared" si="2"/>
      </c>
      <c r="G14" s="104">
        <f t="shared" si="2"/>
      </c>
      <c r="H14" s="119">
        <f t="shared" si="2"/>
      </c>
      <c r="I14" s="120">
        <f t="shared" si="2"/>
      </c>
      <c r="J14" s="121">
        <f t="shared" si="2"/>
      </c>
      <c r="K14" s="122">
        <f t="shared" si="2"/>
      </c>
      <c r="L14" s="123">
        <f t="shared" si="13"/>
      </c>
      <c r="M14" s="124">
        <f t="shared" si="2"/>
      </c>
      <c r="N14" s="125">
        <f t="shared" si="2"/>
      </c>
      <c r="O14" s="104">
        <f t="shared" si="2"/>
      </c>
      <c r="P14" s="105">
        <f t="shared" si="2"/>
      </c>
      <c r="Q14" s="126">
        <f t="shared" si="2"/>
      </c>
      <c r="R14" s="107"/>
      <c r="S14" s="107"/>
      <c r="T14" s="131">
        <f t="shared" si="14"/>
      </c>
      <c r="U14" s="122">
        <f t="shared" si="18"/>
      </c>
      <c r="V14" s="347">
        <f t="shared" si="15"/>
      </c>
      <c r="X14" s="109" t="e">
        <f ca="1">IF(AND(X$44=INFO("GesamtSpeich"),AF14&gt;0),INDEX(Transferwert!$A:$XFD,FLOOR(AJ14,1)+1,VLOOKUP(AE14,Offsets,2,FALSE)+AF14-17)+(AJ14-FLOOR(AJ14,1))*(INDEX(Transferwert!$A:$XFD,1+FLOOR(AJ14,1)+1,VLOOKUP(AE14,Offsets,2,FALSE)+AF14-17)-INDEX(Transferwert!$A:$XFD,FLOOR(AJ14,1)+1,VLOOKUP(AE14,Offsets,2,FALSE)+AF14-17)),"")</f>
        <v>#VALUE!</v>
      </c>
      <c r="Y14" s="109" t="e">
        <f ca="1">IF(AND(AF14&gt;0,NOW()-FLOOR(TODAY(),1)-$Z$41&gt;0,NOW()-FLOOR(TODAY(),1)-$Z$41&lt;0.1),INDEX(Transferwert!$A:$XFD,FLOOR(AJ14,1)+1,VLOOKUP($AE14,Offsets,2,FALSE)+AF14+1-17)+(AJ14-FLOOR(AJ14,1))*(INDEX(Transferwert!$A:$XFD,1+FLOOR(AJ14,1)+1,VLOOKUP($AE14,Offsets,2,FALSE)+AF14+1-17)-INDEX(Transferwert!$A:$XFD,FLOOR(AJ14,1)+1,VLOOKUP($AE14,Offsets,2,FALSE)+AF14+1-17)),"")</f>
        <v>#VALUE!</v>
      </c>
      <c r="Z14" s="17" t="e">
        <f t="shared" si="3"/>
        <v>#VALUE!</v>
      </c>
      <c r="AA14" s="110">
        <f t="shared" si="4"/>
      </c>
      <c r="AB14" s="17" t="e">
        <f t="shared" si="16"/>
        <v>#NUM!</v>
      </c>
      <c r="AC14" s="110">
        <f t="shared" si="5"/>
      </c>
      <c r="AD14" s="128" t="e">
        <f>INDEX(Daten!$A$1:$U$1000,4+($AV14-29)*6+$Z$4-1,2)</f>
        <v>#VALUE!</v>
      </c>
      <c r="AE14" s="118" t="e">
        <f>IF($AA$6="OpenOffice",TRIM(INDEX(Daten!$A$1:$U$1000,5+($AV14-29)*6+$Z$4-1,2)),TRIM(INDEX(Daten!$A$1:$U$1000,1+($AV14-29)*1+$Z$4-1,8)))</f>
        <v>#VALUE!</v>
      </c>
      <c r="AF14" s="94" t="e">
        <f>IF($AA$6="OpenOffice",INDEX(Daten!$A$1:$U$1000,5+($AV14-29)*6+$Z$4-1,3),INDEX(Daten!$A$1:$U$1000,1+($AV14-29)*1+$Z$4-1,9))</f>
        <v>#VALUE!</v>
      </c>
      <c r="AG14" s="112" t="e">
        <f>IF($AA$6="OpenOffice",SUBSTITUTE(SUBSTITUTE(LEFT(INDEX(Daten!$A$1:$U$1000,5+($AV14-29)*6+$Z$4-1,5),6),".",""),"/",""),SUBSTITUTE(SUBSTITUTE(LEFT(INDEX(Daten!$A$1:$U$1000,1+($AV14-29)*1+$Z$4-1,11),6),".",""),"/",""))</f>
        <v>#VALUE!</v>
      </c>
      <c r="AH14" s="112" t="e">
        <f>IF($AA$6="OpenOffice",SUBSTITUTE(SUBSTITUTE(RIGHT(INDEX(Daten!$A$1:$U$1000,5+($AV14-29)*6+$Z$4-1,5),6),".",""),"/",""),SUBSTITUTE(SUBSTITUTE(RIGHT(INDEX(Daten!$A$1:$U$1000,1+($AV14-29)*1+$Z$4-1,11),6),".",""),"/",""))</f>
        <v>#VALUE!</v>
      </c>
      <c r="AI14" s="104" t="e">
        <f t="shared" si="6"/>
        <v>#VALUE!</v>
      </c>
      <c r="AJ14" s="119" t="e">
        <f t="shared" si="7"/>
        <v>#VALUE!</v>
      </c>
      <c r="AK14" s="129" t="e">
        <f>IF($AA$6="OpenOffice",INDEX(Daten!$A$1:$U$1000,5+($AV14-29)*6+$Z$4-1,6),INDEX(Daten!$A$1:$U$1000,1+($AV14-29)*1+$Z$4-1,12))</f>
        <v>#VALUE!</v>
      </c>
      <c r="AL14" s="121" t="e">
        <f t="shared" si="8"/>
        <v>#VALUE!</v>
      </c>
      <c r="AM14" s="122" t="e">
        <f t="shared" si="9"/>
        <v>#VALUE!</v>
      </c>
      <c r="AN14" s="123" t="e">
        <f t="shared" si="10"/>
        <v>#VALUE!</v>
      </c>
      <c r="AO14" s="124">
        <f t="shared" si="11"/>
      </c>
      <c r="AP14" s="125" t="e">
        <f>IF(AF14&gt;0,IF(AR14&gt;='OFM-Transfer'!$P$4,AK14-AO14,""),"")</f>
        <v>#VALUE!</v>
      </c>
      <c r="AQ14" s="104" t="e">
        <f>IF(AF14&gt;0,235*SQRT(SQRT(((AH14+$U$4+(35-Spieltag)*INDEX(Optionen,Offset_TP,1+IF(AF14&lt;27,0,1)+VLOOKUP($AE14,Mannschaftsteil,2,FALSE)))/(AG14+'OFM-Transfer'!$Q$4+(35-Spieltag)*(IF(OR($O$4="Liga&amp;Friendly",$O$4="nur Liga"),INDEX(Optionen,1,1+VLOOKUP($AE14,Mannschaftsteil,2,FALSE)),0)+IF(OR($O$4="Liga&amp;Friendly",$O$4="nur Friendly"),INDEX(Optionen,2,1+VLOOKUP($AE14,Mannschaftsteil,2,FALSE)),0)))-0.4)))/200*(AG14+'OFM-Transfer'!$Q$4+(35-Spieltag)*(IF(OR($O$4="Liga&amp;Friendly",$O$4="nur Liga"),INDEX(Optionen,1,1+VLOOKUP($AE14,Mannschaftsteil,2,FALSE)),0)+IF(OR($O$4="Liga&amp;Friendly",$O$4="nur Friendly"),INDEX(Optionen,2,1+VLOOKUP($AE14,Mannschaftsteil,2,FALSE)),0))),"")</f>
        <v>#VALUE!</v>
      </c>
      <c r="AR14" s="105">
        <f t="shared" si="12"/>
      </c>
      <c r="AS14" s="130" t="e">
        <f>IF(AND(AF14&gt;0,AR14&gt;=$P$4),INDEX(Transferwert!$A:$XFD,INT(AR14)+1,VLOOKUP(AE14,Offsets,2,FALSE)+AF14+1-17)-AK14-(34-$Y$4)*VLOOKUP(FLOOR($AJ14,1),Gehaltsstruktur,2),"")</f>
        <v>#VALUE!</v>
      </c>
      <c r="AT14" s="107" t="e">
        <f t="shared" si="0"/>
        <v>#VALUE!</v>
      </c>
      <c r="AU14" s="107" t="e">
        <f t="shared" si="1"/>
        <v>#VALUE!</v>
      </c>
      <c r="AV14" s="131">
        <f ca="1">IF($X$43=INFO("Version"),34,"")</f>
      </c>
      <c r="AW14" s="132" t="e">
        <f>IF(AND(AF14&gt;0,AS14&gt;0,AR14&gt;='OFM-Transfer'!$P$4),ROUND(MIN(AS14/3,MAX(0.1*AK14,1.2*(AS14-MAX(AS15:AS22))))+AK14,0-3),"")</f>
        <v>#VALUE!</v>
      </c>
      <c r="AY14" s="110" t="e">
        <f t="shared" si="17"/>
        <v>#NUM!</v>
      </c>
    </row>
    <row r="15" spans="2:51" ht="12.75">
      <c r="B15" s="117">
        <f t="shared" si="2"/>
      </c>
      <c r="C15" s="118">
        <f t="shared" si="2"/>
      </c>
      <c r="D15" s="94">
        <f t="shared" si="2"/>
      </c>
      <c r="E15" s="112">
        <f t="shared" si="2"/>
      </c>
      <c r="F15" s="112">
        <f t="shared" si="2"/>
      </c>
      <c r="G15" s="104">
        <f t="shared" si="2"/>
      </c>
      <c r="H15" s="119">
        <f t="shared" si="2"/>
      </c>
      <c r="I15" s="120">
        <f t="shared" si="2"/>
      </c>
      <c r="J15" s="121">
        <f t="shared" si="2"/>
      </c>
      <c r="K15" s="122">
        <f t="shared" si="2"/>
      </c>
      <c r="L15" s="123">
        <f t="shared" si="13"/>
      </c>
      <c r="M15" s="124">
        <f t="shared" si="2"/>
      </c>
      <c r="N15" s="125">
        <f t="shared" si="2"/>
      </c>
      <c r="O15" s="104">
        <f t="shared" si="2"/>
      </c>
      <c r="P15" s="105">
        <f t="shared" si="2"/>
      </c>
      <c r="Q15" s="126">
        <f t="shared" si="2"/>
      </c>
      <c r="R15" s="107"/>
      <c r="S15" s="107"/>
      <c r="T15" s="131">
        <f t="shared" si="14"/>
      </c>
      <c r="U15" s="122">
        <f t="shared" si="18"/>
      </c>
      <c r="V15" s="347">
        <f t="shared" si="15"/>
      </c>
      <c r="X15" s="109" t="e">
        <f ca="1">IF(AND(X$44=INFO("GesamtSpeich"),AF15&gt;0),INDEX(Transferwert!$A:$XFD,FLOOR(AJ15,1)+1,VLOOKUP(AE15,Offsets,2,FALSE)+AF15-17)+(AJ15-FLOOR(AJ15,1))*(INDEX(Transferwert!$A:$XFD,1+FLOOR(AJ15,1)+1,VLOOKUP(AE15,Offsets,2,FALSE)+AF15-17)-INDEX(Transferwert!$A:$XFD,FLOOR(AJ15,1)+1,VLOOKUP(AE15,Offsets,2,FALSE)+AF15-17)),"")</f>
        <v>#VALUE!</v>
      </c>
      <c r="Y15" s="109" t="e">
        <f ca="1">IF(AND(AF15&gt;0,NOW()-FLOOR(TODAY(),1)-$Z$41&gt;0,NOW()-FLOOR(TODAY(),1)-$Z$41&lt;0.1),INDEX(Transferwert!$A:$XFD,FLOOR(AJ15,1)+1,VLOOKUP($AE15,Offsets,2,FALSE)+AF15+1-17)+(AJ15-FLOOR(AJ15,1))*(INDEX(Transferwert!$A:$XFD,1+FLOOR(AJ15,1)+1,VLOOKUP($AE15,Offsets,2,FALSE)+AF15+1-17)-INDEX(Transferwert!$A:$XFD,FLOOR(AJ15,1)+1,VLOOKUP($AE15,Offsets,2,FALSE)+AF15+1-17)),"")</f>
        <v>#VALUE!</v>
      </c>
      <c r="Z15" s="17" t="e">
        <f t="shared" si="3"/>
        <v>#VALUE!</v>
      </c>
      <c r="AA15" s="110">
        <f t="shared" si="4"/>
      </c>
      <c r="AB15" s="17" t="e">
        <f t="shared" si="16"/>
        <v>#NUM!</v>
      </c>
      <c r="AC15" s="110">
        <f t="shared" si="5"/>
      </c>
      <c r="AD15" s="128" t="e">
        <f>INDEX(Daten!$A$1:$U$1000,4+($AV15-29)*6+$Z$4-1,2)</f>
        <v>#VALUE!</v>
      </c>
      <c r="AE15" s="118" t="e">
        <f>IF($AA$6="OpenOffice",TRIM(INDEX(Daten!$A$1:$U$1000,5+($AV15-29)*6+$Z$4-1,2)),TRIM(INDEX(Daten!$A$1:$U$1000,1+($AV15-29)*1+$Z$4-1,8)))</f>
        <v>#VALUE!</v>
      </c>
      <c r="AF15" s="94" t="e">
        <f>IF($AA$6="OpenOffice",INDEX(Daten!$A$1:$U$1000,5+($AV15-29)*6+$Z$4-1,3),INDEX(Daten!$A$1:$U$1000,1+($AV15-29)*1+$Z$4-1,9))</f>
        <v>#VALUE!</v>
      </c>
      <c r="AG15" s="112" t="e">
        <f>IF($AA$6="OpenOffice",SUBSTITUTE(SUBSTITUTE(LEFT(INDEX(Daten!$A$1:$U$1000,5+($AV15-29)*6+$Z$4-1,5),6),".",""),"/",""),SUBSTITUTE(SUBSTITUTE(LEFT(INDEX(Daten!$A$1:$U$1000,1+($AV15-29)*1+$Z$4-1,11),6),".",""),"/",""))</f>
        <v>#VALUE!</v>
      </c>
      <c r="AH15" s="112" t="e">
        <f>IF($AA$6="OpenOffice",SUBSTITUTE(SUBSTITUTE(RIGHT(INDEX(Daten!$A$1:$U$1000,5+($AV15-29)*6+$Z$4-1,5),6),".",""),"/",""),SUBSTITUTE(SUBSTITUTE(RIGHT(INDEX(Daten!$A$1:$U$1000,1+($AV15-29)*1+$Z$4-1,11),6),".",""),"/",""))</f>
        <v>#VALUE!</v>
      </c>
      <c r="AI15" s="104" t="e">
        <f t="shared" si="6"/>
        <v>#VALUE!</v>
      </c>
      <c r="AJ15" s="119" t="e">
        <f t="shared" si="7"/>
        <v>#VALUE!</v>
      </c>
      <c r="AK15" s="129" t="e">
        <f>IF($AA$6="OpenOffice",INDEX(Daten!$A$1:$U$1000,5+($AV15-29)*6+$Z$4-1,6),INDEX(Daten!$A$1:$U$1000,1+($AV15-29)*1+$Z$4-1,12))</f>
        <v>#VALUE!</v>
      </c>
      <c r="AL15" s="121" t="e">
        <f t="shared" si="8"/>
        <v>#VALUE!</v>
      </c>
      <c r="AM15" s="122" t="e">
        <f t="shared" si="9"/>
        <v>#VALUE!</v>
      </c>
      <c r="AN15" s="123" t="e">
        <f t="shared" si="10"/>
        <v>#VALUE!</v>
      </c>
      <c r="AO15" s="124">
        <f t="shared" si="11"/>
      </c>
      <c r="AP15" s="125" t="e">
        <f>IF(AF15&gt;0,IF(AR15&gt;='OFM-Transfer'!$P$4,AK15-AO15,""),"")</f>
        <v>#VALUE!</v>
      </c>
      <c r="AQ15" s="104" t="e">
        <f>IF(AF15&gt;0,235*SQRT(SQRT(((AH15+$U$4+(35-Spieltag)*INDEX(Optionen,Offset_TP,1+IF(AF15&lt;27,0,1)+VLOOKUP($AE15,Mannschaftsteil,2,FALSE)))/(AG15+'OFM-Transfer'!$Q$4+(35-Spieltag)*(IF(OR($O$4="Liga&amp;Friendly",$O$4="nur Liga"),INDEX(Optionen,1,1+VLOOKUP($AE15,Mannschaftsteil,2,FALSE)),0)+IF(OR($O$4="Liga&amp;Friendly",$O$4="nur Friendly"),INDEX(Optionen,2,1+VLOOKUP($AE15,Mannschaftsteil,2,FALSE)),0)))-0.4)))/200*(AG15+'OFM-Transfer'!$Q$4+(35-Spieltag)*(IF(OR($O$4="Liga&amp;Friendly",$O$4="nur Liga"),INDEX(Optionen,1,1+VLOOKUP($AE15,Mannschaftsteil,2,FALSE)),0)+IF(OR($O$4="Liga&amp;Friendly",$O$4="nur Friendly"),INDEX(Optionen,2,1+VLOOKUP($AE15,Mannschaftsteil,2,FALSE)),0))),"")</f>
        <v>#VALUE!</v>
      </c>
      <c r="AR15" s="105">
        <f t="shared" si="12"/>
      </c>
      <c r="AS15" s="130" t="e">
        <f>IF(AND(AF15&gt;0,AR15&gt;=$P$4),INDEX(Transferwert!$A:$XFD,INT(AR15)+1,VLOOKUP(AE15,Offsets,2,FALSE)+AF15+1-17)-AK15-(34-$Y$4)*VLOOKUP(FLOOR($AJ15,1),Gehaltsstruktur,2),"")</f>
        <v>#VALUE!</v>
      </c>
      <c r="AT15" s="107" t="e">
        <f t="shared" si="0"/>
        <v>#VALUE!</v>
      </c>
      <c r="AU15" s="107" t="e">
        <f t="shared" si="1"/>
        <v>#VALUE!</v>
      </c>
      <c r="AV15" s="131">
        <f ca="1">IF($X$43=INFO("Version"),35,"")</f>
      </c>
      <c r="AW15" s="132" t="e">
        <f>IF(AND(AF15&gt;0,AS15&gt;0,AR15&gt;='OFM-Transfer'!$P$4),ROUND(MIN(AS15/3,MAX(0.1*AK15,1.2*(AS15-MAX(AS16:AS23))))+AK15,0-3),"")</f>
        <v>#VALUE!</v>
      </c>
      <c r="AY15" s="110" t="e">
        <f t="shared" si="17"/>
        <v>#NUM!</v>
      </c>
    </row>
    <row r="16" spans="2:51" ht="12.75">
      <c r="B16" s="117">
        <f t="shared" si="2"/>
      </c>
      <c r="C16" s="118">
        <f t="shared" si="2"/>
      </c>
      <c r="D16" s="94">
        <f t="shared" si="2"/>
      </c>
      <c r="E16" s="112">
        <f t="shared" si="2"/>
      </c>
      <c r="F16" s="112">
        <f t="shared" si="2"/>
      </c>
      <c r="G16" s="104">
        <f t="shared" si="2"/>
      </c>
      <c r="H16" s="119">
        <f t="shared" si="2"/>
      </c>
      <c r="I16" s="120">
        <f t="shared" si="2"/>
      </c>
      <c r="J16" s="121">
        <f t="shared" si="2"/>
      </c>
      <c r="K16" s="122">
        <f t="shared" si="2"/>
      </c>
      <c r="L16" s="123">
        <f t="shared" si="13"/>
      </c>
      <c r="M16" s="124">
        <f t="shared" si="2"/>
      </c>
      <c r="N16" s="125">
        <f t="shared" si="2"/>
      </c>
      <c r="O16" s="104">
        <f t="shared" si="2"/>
      </c>
      <c r="P16" s="105">
        <f t="shared" si="2"/>
      </c>
      <c r="Q16" s="126">
        <f t="shared" si="2"/>
      </c>
      <c r="R16" s="107"/>
      <c r="S16" s="107"/>
      <c r="T16" s="131">
        <f t="shared" si="14"/>
      </c>
      <c r="U16" s="122">
        <f t="shared" si="18"/>
      </c>
      <c r="V16" s="347">
        <f t="shared" si="15"/>
      </c>
      <c r="X16" s="109" t="e">
        <f ca="1">IF(AND(X$44=INFO("GesamtSpeich"),AF16&gt;0),INDEX(Transferwert!$A:$XFD,FLOOR(AJ16,1)+1,VLOOKUP(AE16,Offsets,2,FALSE)+AF16-17)+(AJ16-FLOOR(AJ16,1))*(INDEX(Transferwert!$A:$XFD,1+FLOOR(AJ16,1)+1,VLOOKUP(AE16,Offsets,2,FALSE)+AF16-17)-INDEX(Transferwert!$A:$XFD,FLOOR(AJ16,1)+1,VLOOKUP(AE16,Offsets,2,FALSE)+AF16-17)),"")</f>
        <v>#VALUE!</v>
      </c>
      <c r="Y16" s="109" t="e">
        <f ca="1">IF(AND(AF16&gt;0,NOW()-FLOOR(TODAY(),1)-$Z$41&gt;0,NOW()-FLOOR(TODAY(),1)-$Z$41&lt;0.1),INDEX(Transferwert!$A:$XFD,FLOOR(AJ16,1)+1,VLOOKUP($AE16,Offsets,2,FALSE)+AF16+1-17)+(AJ16-FLOOR(AJ16,1))*(INDEX(Transferwert!$A:$XFD,1+FLOOR(AJ16,1)+1,VLOOKUP($AE16,Offsets,2,FALSE)+AF16+1-17)-INDEX(Transferwert!$A:$XFD,FLOOR(AJ16,1)+1,VLOOKUP($AE16,Offsets,2,FALSE)+AF16+1-17)),"")</f>
        <v>#VALUE!</v>
      </c>
      <c r="Z16" s="17" t="e">
        <f t="shared" si="3"/>
        <v>#VALUE!</v>
      </c>
      <c r="AA16" s="110">
        <f t="shared" si="4"/>
      </c>
      <c r="AB16" s="17" t="e">
        <f t="shared" si="16"/>
        <v>#NUM!</v>
      </c>
      <c r="AC16" s="110">
        <f t="shared" si="5"/>
      </c>
      <c r="AD16" s="128" t="e">
        <f>INDEX(Daten!$A$1:$U$1000,4+($AV16-29)*6+$Z$4-1,2)</f>
        <v>#VALUE!</v>
      </c>
      <c r="AE16" s="118" t="e">
        <f>IF($AA$6="OpenOffice",TRIM(INDEX(Daten!$A$1:$U$1000,5+($AV16-29)*6+$Z$4-1,2)),TRIM(INDEX(Daten!$A$1:$U$1000,1+($AV16-29)*1+$Z$4-1,8)))</f>
        <v>#VALUE!</v>
      </c>
      <c r="AF16" s="94" t="e">
        <f>IF($AA$6="OpenOffice",INDEX(Daten!$A$1:$U$1000,5+($AV16-29)*6+$Z$4-1,3),INDEX(Daten!$A$1:$U$1000,1+($AV16-29)*1+$Z$4-1,9))</f>
        <v>#VALUE!</v>
      </c>
      <c r="AG16" s="112" t="e">
        <f>IF($AA$6="OpenOffice",SUBSTITUTE(SUBSTITUTE(LEFT(INDEX(Daten!$A$1:$U$1000,5+($AV16-29)*6+$Z$4-1,5),6),".",""),"/",""),SUBSTITUTE(SUBSTITUTE(LEFT(INDEX(Daten!$A$1:$U$1000,1+($AV16-29)*1+$Z$4-1,11),6),".",""),"/",""))</f>
        <v>#VALUE!</v>
      </c>
      <c r="AH16" s="112" t="e">
        <f>IF($AA$6="OpenOffice",SUBSTITUTE(SUBSTITUTE(RIGHT(INDEX(Daten!$A$1:$U$1000,5+($AV16-29)*6+$Z$4-1,5),6),".",""),"/",""),SUBSTITUTE(SUBSTITUTE(RIGHT(INDEX(Daten!$A$1:$U$1000,1+($AV16-29)*1+$Z$4-1,11),6),".",""),"/",""))</f>
        <v>#VALUE!</v>
      </c>
      <c r="AI16" s="104" t="e">
        <f t="shared" si="6"/>
        <v>#VALUE!</v>
      </c>
      <c r="AJ16" s="119" t="e">
        <f t="shared" si="7"/>
        <v>#VALUE!</v>
      </c>
      <c r="AK16" s="129" t="e">
        <f>IF($AA$6="OpenOffice",INDEX(Daten!$A$1:$U$1000,5+($AV16-29)*6+$Z$4-1,6),INDEX(Daten!$A$1:$U$1000,1+($AV16-29)*1+$Z$4-1,12))</f>
        <v>#VALUE!</v>
      </c>
      <c r="AL16" s="121" t="e">
        <f t="shared" si="8"/>
        <v>#VALUE!</v>
      </c>
      <c r="AM16" s="122" t="e">
        <f t="shared" si="9"/>
        <v>#VALUE!</v>
      </c>
      <c r="AN16" s="123" t="e">
        <f t="shared" si="10"/>
        <v>#VALUE!</v>
      </c>
      <c r="AO16" s="124">
        <f t="shared" si="11"/>
      </c>
      <c r="AP16" s="125" t="e">
        <f>IF(AF16&gt;0,IF(AR16&gt;='OFM-Transfer'!$P$4,AK16-AO16,""),"")</f>
        <v>#VALUE!</v>
      </c>
      <c r="AQ16" s="104" t="e">
        <f>IF(AF16&gt;0,235*SQRT(SQRT(((AH16+$U$4+(35-Spieltag)*INDEX(Optionen,Offset_TP,1+IF(AF16&lt;27,0,1)+VLOOKUP($AE16,Mannschaftsteil,2,FALSE)))/(AG16+'OFM-Transfer'!$Q$4+(35-Spieltag)*(IF(OR($O$4="Liga&amp;Friendly",$O$4="nur Liga"),INDEX(Optionen,1,1+VLOOKUP($AE16,Mannschaftsteil,2,FALSE)),0)+IF(OR($O$4="Liga&amp;Friendly",$O$4="nur Friendly"),INDEX(Optionen,2,1+VLOOKUP($AE16,Mannschaftsteil,2,FALSE)),0)))-0.4)))/200*(AG16+'OFM-Transfer'!$Q$4+(35-Spieltag)*(IF(OR($O$4="Liga&amp;Friendly",$O$4="nur Liga"),INDEX(Optionen,1,1+VLOOKUP($AE16,Mannschaftsteil,2,FALSE)),0)+IF(OR($O$4="Liga&amp;Friendly",$O$4="nur Friendly"),INDEX(Optionen,2,1+VLOOKUP($AE16,Mannschaftsteil,2,FALSE)),0))),"")</f>
        <v>#VALUE!</v>
      </c>
      <c r="AR16" s="105">
        <f t="shared" si="12"/>
      </c>
      <c r="AS16" s="130" t="e">
        <f>IF(AND(AF16&gt;0,AR16&gt;=$P$4),INDEX(Transferwert!$A:$XFD,INT(AR16)+1,VLOOKUP(AE16,Offsets,2,FALSE)+AF16+1-17)-AK16-(34-$Y$4)*VLOOKUP(FLOOR($AJ16,1),Gehaltsstruktur,2),"")</f>
        <v>#VALUE!</v>
      </c>
      <c r="AT16" s="107" t="e">
        <f t="shared" si="0"/>
        <v>#VALUE!</v>
      </c>
      <c r="AU16" s="107" t="e">
        <f t="shared" si="1"/>
        <v>#VALUE!</v>
      </c>
      <c r="AV16" s="131">
        <f ca="1">IF($X$43=INFO("Version"),36,"")</f>
      </c>
      <c r="AW16" s="132" t="e">
        <f>IF(AND(AF16&gt;0,AS16&gt;0,AR16&gt;='OFM-Transfer'!$P$4),ROUND(MIN(AS16/3,MAX(0.1*AK16,1.2*(AS16-MAX(AS17:AS24))))+AK16,0-3),"")</f>
        <v>#VALUE!</v>
      </c>
      <c r="AY16" s="110" t="e">
        <f t="shared" si="17"/>
        <v>#NUM!</v>
      </c>
    </row>
    <row r="17" spans="2:51" ht="12.75">
      <c r="B17" s="117">
        <f t="shared" si="2"/>
      </c>
      <c r="C17" s="118">
        <f t="shared" si="2"/>
      </c>
      <c r="D17" s="94">
        <f t="shared" si="2"/>
      </c>
      <c r="E17" s="112">
        <f t="shared" si="2"/>
      </c>
      <c r="F17" s="112">
        <f t="shared" si="2"/>
      </c>
      <c r="G17" s="104">
        <f t="shared" si="2"/>
      </c>
      <c r="H17" s="119">
        <f t="shared" si="2"/>
      </c>
      <c r="I17" s="120">
        <f t="shared" si="2"/>
      </c>
      <c r="J17" s="121">
        <f t="shared" si="2"/>
      </c>
      <c r="K17" s="122">
        <f t="shared" si="2"/>
      </c>
      <c r="L17" s="123">
        <f t="shared" si="13"/>
      </c>
      <c r="M17" s="124">
        <f t="shared" si="2"/>
      </c>
      <c r="N17" s="125">
        <f t="shared" si="2"/>
      </c>
      <c r="O17" s="104">
        <f t="shared" si="2"/>
      </c>
      <c r="P17" s="105">
        <f t="shared" si="2"/>
      </c>
      <c r="Q17" s="126">
        <f t="shared" si="2"/>
      </c>
      <c r="R17" s="107"/>
      <c r="S17" s="107"/>
      <c r="T17" s="131">
        <f t="shared" si="14"/>
      </c>
      <c r="U17" s="122">
        <f t="shared" si="18"/>
      </c>
      <c r="V17" s="347">
        <f t="shared" si="15"/>
      </c>
      <c r="X17" s="109" t="e">
        <f ca="1">IF(AND(X$44=INFO("GesamtSpeich"),AF17&gt;0),INDEX(Transferwert!$A:$XFD,FLOOR(AJ17,1)+1,VLOOKUP(AE17,Offsets,2,FALSE)+AF17-17)+(AJ17-FLOOR(AJ17,1))*(INDEX(Transferwert!$A:$XFD,1+FLOOR(AJ17,1)+1,VLOOKUP(AE17,Offsets,2,FALSE)+AF17-17)-INDEX(Transferwert!$A:$XFD,FLOOR(AJ17,1)+1,VLOOKUP(AE17,Offsets,2,FALSE)+AF17-17)),"")</f>
        <v>#VALUE!</v>
      </c>
      <c r="Y17" s="109" t="e">
        <f ca="1">IF(AND(AF17&gt;0,NOW()-FLOOR(TODAY(),1)-$Z$41&gt;0,NOW()-FLOOR(TODAY(),1)-$Z$41&lt;0.1),INDEX(Transferwert!$A:$XFD,FLOOR(AJ17,1)+1,VLOOKUP($AE17,Offsets,2,FALSE)+AF17+1-17)+(AJ17-FLOOR(AJ17,1))*(INDEX(Transferwert!$A:$XFD,1+FLOOR(AJ17,1)+1,VLOOKUP($AE17,Offsets,2,FALSE)+AF17+1-17)-INDEX(Transferwert!$A:$XFD,FLOOR(AJ17,1)+1,VLOOKUP($AE17,Offsets,2,FALSE)+AF17+1-17)),"")</f>
        <v>#VALUE!</v>
      </c>
      <c r="Z17" s="17" t="e">
        <f t="shared" si="3"/>
        <v>#VALUE!</v>
      </c>
      <c r="AA17" s="110">
        <f t="shared" si="4"/>
      </c>
      <c r="AB17" s="17" t="e">
        <f t="shared" si="16"/>
        <v>#NUM!</v>
      </c>
      <c r="AC17" s="110">
        <f t="shared" si="5"/>
      </c>
      <c r="AD17" s="128" t="e">
        <f>INDEX(Daten!$A$1:$U$1000,4+($AV17-29)*6+$Z$4-1,2)</f>
        <v>#VALUE!</v>
      </c>
      <c r="AE17" s="118" t="e">
        <f>IF($AA$6="OpenOffice",TRIM(INDEX(Daten!$A$1:$U$1000,5+($AV17-29)*6+$Z$4-1,2)),TRIM(INDEX(Daten!$A$1:$U$1000,1+($AV17-29)*1+$Z$4-1,8)))</f>
        <v>#VALUE!</v>
      </c>
      <c r="AF17" s="94" t="e">
        <f>IF($AA$6="OpenOffice",INDEX(Daten!$A$1:$U$1000,5+($AV17-29)*6+$Z$4-1,3),INDEX(Daten!$A$1:$U$1000,1+($AV17-29)*1+$Z$4-1,9))</f>
        <v>#VALUE!</v>
      </c>
      <c r="AG17" s="112" t="e">
        <f>IF($AA$6="OpenOffice",SUBSTITUTE(SUBSTITUTE(LEFT(INDEX(Daten!$A$1:$U$1000,5+($AV17-29)*6+$Z$4-1,5),6),".",""),"/",""),SUBSTITUTE(SUBSTITUTE(LEFT(INDEX(Daten!$A$1:$U$1000,1+($AV17-29)*1+$Z$4-1,11),6),".",""),"/",""))</f>
        <v>#VALUE!</v>
      </c>
      <c r="AH17" s="112" t="e">
        <f>IF($AA$6="OpenOffice",SUBSTITUTE(SUBSTITUTE(RIGHT(INDEX(Daten!$A$1:$U$1000,5+($AV17-29)*6+$Z$4-1,5),6),".",""),"/",""),SUBSTITUTE(SUBSTITUTE(RIGHT(INDEX(Daten!$A$1:$U$1000,1+($AV17-29)*1+$Z$4-1,11),6),".",""),"/",""))</f>
        <v>#VALUE!</v>
      </c>
      <c r="AI17" s="104" t="e">
        <f t="shared" si="6"/>
        <v>#VALUE!</v>
      </c>
      <c r="AJ17" s="119" t="e">
        <f t="shared" si="7"/>
        <v>#VALUE!</v>
      </c>
      <c r="AK17" s="129" t="e">
        <f>IF($AA$6="OpenOffice",INDEX(Daten!$A$1:$U$1000,5+($AV17-29)*6+$Z$4-1,6),INDEX(Daten!$A$1:$U$1000,1+($AV17-29)*1+$Z$4-1,12))</f>
        <v>#VALUE!</v>
      </c>
      <c r="AL17" s="121" t="e">
        <f t="shared" si="8"/>
        <v>#VALUE!</v>
      </c>
      <c r="AM17" s="122" t="e">
        <f t="shared" si="9"/>
        <v>#VALUE!</v>
      </c>
      <c r="AN17" s="123" t="e">
        <f t="shared" si="10"/>
        <v>#VALUE!</v>
      </c>
      <c r="AO17" s="124">
        <f t="shared" si="11"/>
      </c>
      <c r="AP17" s="125" t="e">
        <f>IF(AF17&gt;0,IF(AR17&gt;='OFM-Transfer'!$P$4,AK17-AO17,""),"")</f>
        <v>#VALUE!</v>
      </c>
      <c r="AQ17" s="104" t="e">
        <f>IF(AF17&gt;0,235*SQRT(SQRT(((AH17+$U$4+(35-Spieltag)*INDEX(Optionen,Offset_TP,1+IF(AF17&lt;27,0,1)+VLOOKUP($AE17,Mannschaftsteil,2,FALSE)))/(AG17+'OFM-Transfer'!$Q$4+(35-Spieltag)*(IF(OR($O$4="Liga&amp;Friendly",$O$4="nur Liga"),INDEX(Optionen,1,1+VLOOKUP($AE17,Mannschaftsteil,2,FALSE)),0)+IF(OR($O$4="Liga&amp;Friendly",$O$4="nur Friendly"),INDEX(Optionen,2,1+VLOOKUP($AE17,Mannschaftsteil,2,FALSE)),0)))-0.4)))/200*(AG17+'OFM-Transfer'!$Q$4+(35-Spieltag)*(IF(OR($O$4="Liga&amp;Friendly",$O$4="nur Liga"),INDEX(Optionen,1,1+VLOOKUP($AE17,Mannschaftsteil,2,FALSE)),0)+IF(OR($O$4="Liga&amp;Friendly",$O$4="nur Friendly"),INDEX(Optionen,2,1+VLOOKUP($AE17,Mannschaftsteil,2,FALSE)),0))),"")</f>
        <v>#VALUE!</v>
      </c>
      <c r="AR17" s="105">
        <f t="shared" si="12"/>
      </c>
      <c r="AS17" s="130" t="e">
        <f>IF(AND(AF17&gt;0,AR17&gt;=$P$4),INDEX(Transferwert!$A:$XFD,INT(AR17)+1,VLOOKUP(AE17,Offsets,2,FALSE)+AF17+1-17)-AK17-(34-$Y$4)*VLOOKUP(FLOOR($AJ17,1),Gehaltsstruktur,2),"")</f>
        <v>#VALUE!</v>
      </c>
      <c r="AT17" s="107" t="e">
        <f t="shared" si="0"/>
        <v>#VALUE!</v>
      </c>
      <c r="AU17" s="107" t="e">
        <f t="shared" si="1"/>
        <v>#VALUE!</v>
      </c>
      <c r="AV17" s="131">
        <f ca="1">IF($X$43=INFO("Version"),37,"")</f>
      </c>
      <c r="AW17" s="132" t="e">
        <f>IF(AND(AF17&gt;0,AS17&gt;0,AR17&gt;='OFM-Transfer'!$P$4),ROUND(MIN(AS17/3,MAX(0.1*AK17,1.2*(AS17-MAX(AS18:AS25))))+AK17,0-3),"")</f>
        <v>#VALUE!</v>
      </c>
      <c r="AY17" s="110" t="e">
        <f t="shared" si="17"/>
        <v>#NUM!</v>
      </c>
    </row>
    <row r="18" spans="2:51" ht="12.75">
      <c r="B18" s="117">
        <f t="shared" si="2"/>
      </c>
      <c r="C18" s="118">
        <f t="shared" si="2"/>
      </c>
      <c r="D18" s="94">
        <f t="shared" si="2"/>
      </c>
      <c r="E18" s="112">
        <f t="shared" si="2"/>
      </c>
      <c r="F18" s="112">
        <f t="shared" si="2"/>
      </c>
      <c r="G18" s="104">
        <f t="shared" si="2"/>
      </c>
      <c r="H18" s="119">
        <f t="shared" si="2"/>
      </c>
      <c r="I18" s="120">
        <f t="shared" si="2"/>
      </c>
      <c r="J18" s="121">
        <f t="shared" si="2"/>
      </c>
      <c r="K18" s="122">
        <f t="shared" si="2"/>
      </c>
      <c r="L18" s="123">
        <f t="shared" si="13"/>
      </c>
      <c r="M18" s="124">
        <f t="shared" si="2"/>
      </c>
      <c r="N18" s="125">
        <f t="shared" si="2"/>
      </c>
      <c r="O18" s="104">
        <f t="shared" si="2"/>
      </c>
      <c r="P18" s="105">
        <f t="shared" si="2"/>
      </c>
      <c r="Q18" s="126">
        <f t="shared" si="2"/>
      </c>
      <c r="R18" s="107"/>
      <c r="S18" s="107"/>
      <c r="T18" s="131">
        <f t="shared" si="14"/>
      </c>
      <c r="U18" s="122">
        <f t="shared" si="18"/>
      </c>
      <c r="V18" s="347">
        <f t="shared" si="15"/>
      </c>
      <c r="X18" s="109" t="e">
        <f ca="1">IF(AND(X$44=INFO("GesamtSpeich"),AF18&gt;0),INDEX(Transferwert!$A:$XFD,FLOOR(AJ18,1)+1,VLOOKUP(AE18,Offsets,2,FALSE)+AF18-17)+(AJ18-FLOOR(AJ18,1))*(INDEX(Transferwert!$A:$XFD,1+FLOOR(AJ18,1)+1,VLOOKUP(AE18,Offsets,2,FALSE)+AF18-17)-INDEX(Transferwert!$A:$XFD,FLOOR(AJ18,1)+1,VLOOKUP(AE18,Offsets,2,FALSE)+AF18-17)),"")</f>
        <v>#VALUE!</v>
      </c>
      <c r="Y18" s="109" t="e">
        <f ca="1">IF(AND(AF18&gt;0,NOW()-FLOOR(TODAY(),1)-$Z$41&gt;0,NOW()-FLOOR(TODAY(),1)-$Z$41&lt;0.1),INDEX(Transferwert!$A:$XFD,FLOOR(AJ18,1)+1,VLOOKUP($AE18,Offsets,2,FALSE)+AF18+1-17)+(AJ18-FLOOR(AJ18,1))*(INDEX(Transferwert!$A:$XFD,1+FLOOR(AJ18,1)+1,VLOOKUP($AE18,Offsets,2,FALSE)+AF18+1-17)-INDEX(Transferwert!$A:$XFD,FLOOR(AJ18,1)+1,VLOOKUP($AE18,Offsets,2,FALSE)+AF18+1-17)),"")</f>
        <v>#VALUE!</v>
      </c>
      <c r="Z18" s="17" t="e">
        <f t="shared" si="3"/>
        <v>#VALUE!</v>
      </c>
      <c r="AA18" s="110">
        <f t="shared" si="4"/>
      </c>
      <c r="AB18" s="17" t="e">
        <f t="shared" si="16"/>
        <v>#NUM!</v>
      </c>
      <c r="AC18" s="110">
        <f t="shared" si="5"/>
      </c>
      <c r="AD18" s="128" t="e">
        <f>INDEX(Daten!$A$1:$U$1000,4+($AV18-29)*6+$Z$4-1,2)</f>
        <v>#VALUE!</v>
      </c>
      <c r="AE18" s="118" t="e">
        <f>IF($AA$6="OpenOffice",TRIM(INDEX(Daten!$A$1:$U$1000,5+($AV18-29)*6+$Z$4-1,2)),TRIM(INDEX(Daten!$A$1:$U$1000,1+($AV18-29)*1+$Z$4-1,8)))</f>
        <v>#VALUE!</v>
      </c>
      <c r="AF18" s="94" t="e">
        <f>IF($AA$6="OpenOffice",INDEX(Daten!$A$1:$U$1000,5+($AV18-29)*6+$Z$4-1,3),INDEX(Daten!$A$1:$U$1000,1+($AV18-29)*1+$Z$4-1,9))</f>
        <v>#VALUE!</v>
      </c>
      <c r="AG18" s="112" t="e">
        <f>IF($AA$6="OpenOffice",SUBSTITUTE(SUBSTITUTE(LEFT(INDEX(Daten!$A$1:$U$1000,5+($AV18-29)*6+$Z$4-1,5),6),".",""),"/",""),SUBSTITUTE(SUBSTITUTE(LEFT(INDEX(Daten!$A$1:$U$1000,1+($AV18-29)*1+$Z$4-1,11),6),".",""),"/",""))</f>
        <v>#VALUE!</v>
      </c>
      <c r="AH18" s="112" t="e">
        <f>IF($AA$6="OpenOffice",SUBSTITUTE(SUBSTITUTE(RIGHT(INDEX(Daten!$A$1:$U$1000,5+($AV18-29)*6+$Z$4-1,5),6),".",""),"/",""),SUBSTITUTE(SUBSTITUTE(RIGHT(INDEX(Daten!$A$1:$U$1000,1+($AV18-29)*1+$Z$4-1,11),6),".",""),"/",""))</f>
        <v>#VALUE!</v>
      </c>
      <c r="AI18" s="104" t="e">
        <f t="shared" si="6"/>
        <v>#VALUE!</v>
      </c>
      <c r="AJ18" s="119" t="e">
        <f t="shared" si="7"/>
        <v>#VALUE!</v>
      </c>
      <c r="AK18" s="129" t="e">
        <f>IF($AA$6="OpenOffice",INDEX(Daten!$A$1:$U$1000,5+($AV18-29)*6+$Z$4-1,6),INDEX(Daten!$A$1:$U$1000,1+($AV18-29)*1+$Z$4-1,12))</f>
        <v>#VALUE!</v>
      </c>
      <c r="AL18" s="121" t="e">
        <f t="shared" si="8"/>
        <v>#VALUE!</v>
      </c>
      <c r="AM18" s="122" t="e">
        <f t="shared" si="9"/>
        <v>#VALUE!</v>
      </c>
      <c r="AN18" s="123" t="e">
        <f t="shared" si="10"/>
        <v>#VALUE!</v>
      </c>
      <c r="AO18" s="124">
        <f t="shared" si="11"/>
      </c>
      <c r="AP18" s="125" t="e">
        <f>IF(AF18&gt;0,IF(AR18&gt;='OFM-Transfer'!$P$4,AK18-AO18,""),"")</f>
        <v>#VALUE!</v>
      </c>
      <c r="AQ18" s="104" t="e">
        <f>IF(AF18&gt;0,235*SQRT(SQRT(((AH18+$U$4+(35-Spieltag)*INDEX(Optionen,Offset_TP,1+IF(AF18&lt;27,0,1)+VLOOKUP($AE18,Mannschaftsteil,2,FALSE)))/(AG18+'OFM-Transfer'!$Q$4+(35-Spieltag)*(IF(OR($O$4="Liga&amp;Friendly",$O$4="nur Liga"),INDEX(Optionen,1,1+VLOOKUP($AE18,Mannschaftsteil,2,FALSE)),0)+IF(OR($O$4="Liga&amp;Friendly",$O$4="nur Friendly"),INDEX(Optionen,2,1+VLOOKUP($AE18,Mannschaftsteil,2,FALSE)),0)))-0.4)))/200*(AG18+'OFM-Transfer'!$Q$4+(35-Spieltag)*(IF(OR($O$4="Liga&amp;Friendly",$O$4="nur Liga"),INDEX(Optionen,1,1+VLOOKUP($AE18,Mannschaftsteil,2,FALSE)),0)+IF(OR($O$4="Liga&amp;Friendly",$O$4="nur Friendly"),INDEX(Optionen,2,1+VLOOKUP($AE18,Mannschaftsteil,2,FALSE)),0))),"")</f>
        <v>#VALUE!</v>
      </c>
      <c r="AR18" s="105">
        <f t="shared" si="12"/>
      </c>
      <c r="AS18" s="130" t="e">
        <f>IF(AND(AF18&gt;0,AR18&gt;=$P$4),INDEX(Transferwert!$A:$XFD,INT(AR18)+1,VLOOKUP(AE18,Offsets,2,FALSE)+AF18+1-17)-AK18-(34-$Y$4)*VLOOKUP(FLOOR($AJ18,1),Gehaltsstruktur,2),"")</f>
        <v>#VALUE!</v>
      </c>
      <c r="AT18" s="107" t="e">
        <f t="shared" si="0"/>
        <v>#VALUE!</v>
      </c>
      <c r="AU18" s="107" t="e">
        <f t="shared" si="1"/>
        <v>#VALUE!</v>
      </c>
      <c r="AV18" s="131">
        <f ca="1">IF($X$43=INFO("Version"),38,"")</f>
      </c>
      <c r="AW18" s="132" t="e">
        <f>IF(AND(AF18&gt;0,AS18&gt;0,AR18&gt;='OFM-Transfer'!$P$4),ROUND(MIN(AS18/3,MAX(0.1*AK18,1.2*(AS18-MAX(AS19:AS26))))+AK18,0-3),"")</f>
        <v>#VALUE!</v>
      </c>
      <c r="AY18" s="110" t="e">
        <f t="shared" si="17"/>
        <v>#NUM!</v>
      </c>
    </row>
    <row r="19" spans="2:51" ht="12.75">
      <c r="B19" s="117">
        <f t="shared" si="2"/>
      </c>
      <c r="C19" s="118">
        <f t="shared" si="2"/>
      </c>
      <c r="D19" s="94">
        <f t="shared" si="2"/>
      </c>
      <c r="E19" s="112">
        <f t="shared" si="2"/>
      </c>
      <c r="F19" s="112">
        <f t="shared" si="2"/>
      </c>
      <c r="G19" s="104">
        <f t="shared" si="2"/>
      </c>
      <c r="H19" s="119">
        <f t="shared" si="2"/>
      </c>
      <c r="I19" s="120">
        <f t="shared" si="2"/>
      </c>
      <c r="J19" s="121">
        <f t="shared" si="2"/>
      </c>
      <c r="K19" s="122">
        <f t="shared" si="2"/>
      </c>
      <c r="L19" s="123">
        <f t="shared" si="13"/>
      </c>
      <c r="M19" s="124">
        <f t="shared" si="2"/>
      </c>
      <c r="N19" s="125">
        <f t="shared" si="2"/>
      </c>
      <c r="O19" s="104">
        <f t="shared" si="2"/>
      </c>
      <c r="P19" s="105">
        <f t="shared" si="2"/>
      </c>
      <c r="Q19" s="126">
        <f t="shared" si="2"/>
      </c>
      <c r="R19" s="107"/>
      <c r="S19" s="107"/>
      <c r="T19" s="131">
        <f t="shared" si="14"/>
      </c>
      <c r="U19" s="122">
        <f t="shared" si="18"/>
      </c>
      <c r="V19" s="347">
        <f t="shared" si="15"/>
      </c>
      <c r="X19" s="109" t="e">
        <f ca="1">IF(AND(X$44=INFO("GesamtSpeich"),AF19&gt;0),INDEX(Transferwert!$A:$XFD,FLOOR(AJ19,1)+1,VLOOKUP(AE19,Offsets,2,FALSE)+AF19-17)+(AJ19-FLOOR(AJ19,1))*(INDEX(Transferwert!$A:$XFD,1+FLOOR(AJ19,1)+1,VLOOKUP(AE19,Offsets,2,FALSE)+AF19-17)-INDEX(Transferwert!$A:$XFD,FLOOR(AJ19,1)+1,VLOOKUP(AE19,Offsets,2,FALSE)+AF19-17)),"")</f>
        <v>#VALUE!</v>
      </c>
      <c r="Y19" s="109" t="e">
        <f ca="1">IF(AND(AF19&gt;0,NOW()-FLOOR(TODAY(),1)-$Z$41&gt;0,NOW()-FLOOR(TODAY(),1)-$Z$41&lt;0.1),INDEX(Transferwert!$A:$XFD,FLOOR(AJ19,1)+1,VLOOKUP($AE19,Offsets,2,FALSE)+AF19+1-17)+(AJ19-FLOOR(AJ19,1))*(INDEX(Transferwert!$A:$XFD,1+FLOOR(AJ19,1)+1,VLOOKUP($AE19,Offsets,2,FALSE)+AF19+1-17)-INDEX(Transferwert!$A:$XFD,FLOOR(AJ19,1)+1,VLOOKUP($AE19,Offsets,2,FALSE)+AF19+1-17)),"")</f>
        <v>#VALUE!</v>
      </c>
      <c r="Z19" s="17" t="e">
        <f t="shared" si="3"/>
        <v>#VALUE!</v>
      </c>
      <c r="AA19" s="110">
        <f t="shared" si="4"/>
      </c>
      <c r="AB19" s="17" t="e">
        <f t="shared" si="16"/>
        <v>#NUM!</v>
      </c>
      <c r="AC19" s="110">
        <f t="shared" si="5"/>
      </c>
      <c r="AD19" s="128" t="e">
        <f>INDEX(Daten!$A$1:$U$1000,4+($AV19-29)*6+$Z$4-1,2)</f>
        <v>#VALUE!</v>
      </c>
      <c r="AE19" s="118" t="e">
        <f>IF($AA$6="OpenOffice",TRIM(INDEX(Daten!$A$1:$U$1000,5+($AV19-29)*6+$Z$4-1,2)),TRIM(INDEX(Daten!$A$1:$U$1000,1+($AV19-29)*1+$Z$4-1,8)))</f>
        <v>#VALUE!</v>
      </c>
      <c r="AF19" s="94" t="e">
        <f>IF($AA$6="OpenOffice",INDEX(Daten!$A$1:$U$1000,5+($AV19-29)*6+$Z$4-1,3),INDEX(Daten!$A$1:$U$1000,1+($AV19-29)*1+$Z$4-1,9))</f>
        <v>#VALUE!</v>
      </c>
      <c r="AG19" s="112" t="e">
        <f>IF($AA$6="OpenOffice",SUBSTITUTE(SUBSTITUTE(LEFT(INDEX(Daten!$A$1:$U$1000,5+($AV19-29)*6+$Z$4-1,5),6),".",""),"/",""),SUBSTITUTE(SUBSTITUTE(LEFT(INDEX(Daten!$A$1:$U$1000,1+($AV19-29)*1+$Z$4-1,11),6),".",""),"/",""))</f>
        <v>#VALUE!</v>
      </c>
      <c r="AH19" s="112" t="e">
        <f>IF($AA$6="OpenOffice",SUBSTITUTE(SUBSTITUTE(RIGHT(INDEX(Daten!$A$1:$U$1000,5+($AV19-29)*6+$Z$4-1,5),6),".",""),"/",""),SUBSTITUTE(SUBSTITUTE(RIGHT(INDEX(Daten!$A$1:$U$1000,1+($AV19-29)*1+$Z$4-1,11),6),".",""),"/",""))</f>
        <v>#VALUE!</v>
      </c>
      <c r="AI19" s="104" t="e">
        <f t="shared" si="6"/>
        <v>#VALUE!</v>
      </c>
      <c r="AJ19" s="119" t="e">
        <f t="shared" si="7"/>
        <v>#VALUE!</v>
      </c>
      <c r="AK19" s="129" t="e">
        <f>IF($AA$6="OpenOffice",INDEX(Daten!$A$1:$U$1000,5+($AV19-29)*6+$Z$4-1,6),INDEX(Daten!$A$1:$U$1000,1+($AV19-29)*1+$Z$4-1,12))</f>
        <v>#VALUE!</v>
      </c>
      <c r="AL19" s="121" t="e">
        <f t="shared" si="8"/>
        <v>#VALUE!</v>
      </c>
      <c r="AM19" s="122" t="e">
        <f t="shared" si="9"/>
        <v>#VALUE!</v>
      </c>
      <c r="AN19" s="123" t="e">
        <f t="shared" si="10"/>
        <v>#VALUE!</v>
      </c>
      <c r="AO19" s="124">
        <f t="shared" si="11"/>
      </c>
      <c r="AP19" s="125" t="e">
        <f>IF(AF19&gt;0,IF(AR19&gt;='OFM-Transfer'!$P$4,AK19-AO19,""),"")</f>
        <v>#VALUE!</v>
      </c>
      <c r="AQ19" s="104" t="e">
        <f>IF(AF19&gt;0,235*SQRT(SQRT(((AH19+$U$4+(35-Spieltag)*INDEX(Optionen,Offset_TP,1+IF(AF19&lt;27,0,1)+VLOOKUP($AE19,Mannschaftsteil,2,FALSE)))/(AG19+'OFM-Transfer'!$Q$4+(35-Spieltag)*(IF(OR($O$4="Liga&amp;Friendly",$O$4="nur Liga"),INDEX(Optionen,1,1+VLOOKUP($AE19,Mannschaftsteil,2,FALSE)),0)+IF(OR($O$4="Liga&amp;Friendly",$O$4="nur Friendly"),INDEX(Optionen,2,1+VLOOKUP($AE19,Mannschaftsteil,2,FALSE)),0)))-0.4)))/200*(AG19+'OFM-Transfer'!$Q$4+(35-Spieltag)*(IF(OR($O$4="Liga&amp;Friendly",$O$4="nur Liga"),INDEX(Optionen,1,1+VLOOKUP($AE19,Mannschaftsteil,2,FALSE)),0)+IF(OR($O$4="Liga&amp;Friendly",$O$4="nur Friendly"),INDEX(Optionen,2,1+VLOOKUP($AE19,Mannschaftsteil,2,FALSE)),0))),"")</f>
        <v>#VALUE!</v>
      </c>
      <c r="AR19" s="105">
        <f t="shared" si="12"/>
      </c>
      <c r="AS19" s="130" t="e">
        <f>IF(AND(AF19&gt;0,AR19&gt;=$P$4),INDEX(Transferwert!$A:$XFD,INT(AR19)+1,VLOOKUP(AE19,Offsets,2,FALSE)+AF19+1-17)-AK19-(34-$Y$4)*VLOOKUP(FLOOR($AJ19,1),Gehaltsstruktur,2),"")</f>
        <v>#VALUE!</v>
      </c>
      <c r="AT19" s="107" t="e">
        <f t="shared" si="0"/>
        <v>#VALUE!</v>
      </c>
      <c r="AU19" s="107" t="e">
        <f t="shared" si="1"/>
        <v>#VALUE!</v>
      </c>
      <c r="AV19" s="131">
        <f ca="1">IF($X$43=INFO("Version"),39,"")</f>
      </c>
      <c r="AW19" s="132" t="e">
        <f>IF(AND(AF19&gt;0,AS19&gt;0,AR19&gt;='OFM-Transfer'!$P$4),ROUND(MIN(AS19/3,MAX(0.1*AK19,1.2*(AS19-MAX(AS20:AS27))))+AK19,0-3),"")</f>
        <v>#VALUE!</v>
      </c>
      <c r="AY19" s="110" t="e">
        <f t="shared" si="17"/>
        <v>#NUM!</v>
      </c>
    </row>
    <row r="20" spans="2:51" ht="12.75">
      <c r="B20" s="117">
        <f t="shared" si="2"/>
      </c>
      <c r="C20" s="118">
        <f t="shared" si="2"/>
      </c>
      <c r="D20" s="94">
        <f t="shared" si="2"/>
      </c>
      <c r="E20" s="112">
        <f t="shared" si="2"/>
      </c>
      <c r="F20" s="112">
        <f t="shared" si="2"/>
      </c>
      <c r="G20" s="104">
        <f t="shared" si="2"/>
      </c>
      <c r="H20" s="119">
        <f t="shared" si="2"/>
      </c>
      <c r="I20" s="120">
        <f t="shared" si="2"/>
      </c>
      <c r="J20" s="121">
        <f t="shared" si="2"/>
      </c>
      <c r="K20" s="122">
        <f t="shared" si="2"/>
      </c>
      <c r="L20" s="123">
        <f t="shared" si="13"/>
      </c>
      <c r="M20" s="124">
        <f t="shared" si="2"/>
      </c>
      <c r="N20" s="125">
        <f t="shared" si="2"/>
      </c>
      <c r="O20" s="104">
        <f t="shared" si="2"/>
      </c>
      <c r="P20" s="105">
        <f t="shared" si="2"/>
      </c>
      <c r="Q20" s="126">
        <f t="shared" si="2"/>
      </c>
      <c r="R20" s="107"/>
      <c r="S20" s="107"/>
      <c r="T20" s="131">
        <f t="shared" si="14"/>
      </c>
      <c r="U20" s="122">
        <f t="shared" si="18"/>
      </c>
      <c r="V20" s="347">
        <f t="shared" si="15"/>
      </c>
      <c r="X20" s="109" t="e">
        <f ca="1">IF(AND(X$44=INFO("GesamtSpeich"),AF20&gt;0),INDEX(Transferwert!$A:$XFD,FLOOR(AJ20,1)+1,VLOOKUP(AE20,Offsets,2,FALSE)+AF20-17)+(AJ20-FLOOR(AJ20,1))*(INDEX(Transferwert!$A:$XFD,1+FLOOR(AJ20,1)+1,VLOOKUP(AE20,Offsets,2,FALSE)+AF20-17)-INDEX(Transferwert!$A:$XFD,FLOOR(AJ20,1)+1,VLOOKUP(AE20,Offsets,2,FALSE)+AF20-17)),"")</f>
        <v>#VALUE!</v>
      </c>
      <c r="Y20" s="109" t="e">
        <f ca="1">IF(AND(AF20&gt;0,NOW()-FLOOR(TODAY(),1)-$Z$41&gt;0,NOW()-FLOOR(TODAY(),1)-$Z$41&lt;0.1),INDEX(Transferwert!$A:$XFD,FLOOR(AJ20,1)+1,VLOOKUP($AE20,Offsets,2,FALSE)+AF20+1-17)+(AJ20-FLOOR(AJ20,1))*(INDEX(Transferwert!$A:$XFD,1+FLOOR(AJ20,1)+1,VLOOKUP($AE20,Offsets,2,FALSE)+AF20+1-17)-INDEX(Transferwert!$A:$XFD,FLOOR(AJ20,1)+1,VLOOKUP($AE20,Offsets,2,FALSE)+AF20+1-17)),"")</f>
        <v>#VALUE!</v>
      </c>
      <c r="Z20" s="17" t="e">
        <f t="shared" si="3"/>
        <v>#VALUE!</v>
      </c>
      <c r="AA20" s="110">
        <f t="shared" si="4"/>
      </c>
      <c r="AB20" s="17" t="e">
        <f t="shared" si="16"/>
        <v>#NUM!</v>
      </c>
      <c r="AC20" s="110">
        <f t="shared" si="5"/>
      </c>
      <c r="AD20" s="128" t="e">
        <f>INDEX(Daten!$A$1:$U$1000,4+($AV20-29)*6+$Z$4-1,2)</f>
        <v>#VALUE!</v>
      </c>
      <c r="AE20" s="118" t="e">
        <f>IF($AA$6="OpenOffice",TRIM(INDEX(Daten!$A$1:$U$1000,5+($AV20-29)*6+$Z$4-1,2)),TRIM(INDEX(Daten!$A$1:$U$1000,1+($AV20-29)*1+$Z$4-1,8)))</f>
        <v>#VALUE!</v>
      </c>
      <c r="AF20" s="94" t="e">
        <f>IF($AA$6="OpenOffice",INDEX(Daten!$A$1:$U$1000,5+($AV20-29)*6+$Z$4-1,3),INDEX(Daten!$A$1:$U$1000,1+($AV20-29)*1+$Z$4-1,9))</f>
        <v>#VALUE!</v>
      </c>
      <c r="AG20" s="112" t="e">
        <f>IF($AA$6="OpenOffice",SUBSTITUTE(SUBSTITUTE(LEFT(INDEX(Daten!$A$1:$U$1000,5+($AV20-29)*6+$Z$4-1,5),6),".",""),"/",""),SUBSTITUTE(SUBSTITUTE(LEFT(INDEX(Daten!$A$1:$U$1000,1+($AV20-29)*1+$Z$4-1,11),6),".",""),"/",""))</f>
        <v>#VALUE!</v>
      </c>
      <c r="AH20" s="112" t="e">
        <f>IF($AA$6="OpenOffice",SUBSTITUTE(SUBSTITUTE(RIGHT(INDEX(Daten!$A$1:$U$1000,5+($AV20-29)*6+$Z$4-1,5),6),".",""),"/",""),SUBSTITUTE(SUBSTITUTE(RIGHT(INDEX(Daten!$A$1:$U$1000,1+($AV20-29)*1+$Z$4-1,11),6),".",""),"/",""))</f>
        <v>#VALUE!</v>
      </c>
      <c r="AI20" s="104" t="e">
        <f t="shared" si="6"/>
        <v>#VALUE!</v>
      </c>
      <c r="AJ20" s="119" t="e">
        <f t="shared" si="7"/>
        <v>#VALUE!</v>
      </c>
      <c r="AK20" s="129" t="e">
        <f>IF($AA$6="OpenOffice",INDEX(Daten!$A$1:$U$1000,5+($AV20-29)*6+$Z$4-1,6),INDEX(Daten!$A$1:$U$1000,1+($AV20-29)*1+$Z$4-1,12))</f>
        <v>#VALUE!</v>
      </c>
      <c r="AL20" s="121" t="e">
        <f t="shared" si="8"/>
        <v>#VALUE!</v>
      </c>
      <c r="AM20" s="122" t="e">
        <f t="shared" si="9"/>
        <v>#VALUE!</v>
      </c>
      <c r="AN20" s="123" t="e">
        <f t="shared" si="10"/>
        <v>#VALUE!</v>
      </c>
      <c r="AO20" s="124">
        <f t="shared" si="11"/>
      </c>
      <c r="AP20" s="125" t="e">
        <f>IF(AF20&gt;0,IF(AR20&gt;='OFM-Transfer'!$P$4,AK20-AO20,""),"")</f>
        <v>#VALUE!</v>
      </c>
      <c r="AQ20" s="104" t="e">
        <f>IF(AF20&gt;0,235*SQRT(SQRT(((AH20+$U$4+(35-Spieltag)*INDEX(Optionen,Offset_TP,1+IF(AF20&lt;27,0,1)+VLOOKUP($AE20,Mannschaftsteil,2,FALSE)))/(AG20+'OFM-Transfer'!$Q$4+(35-Spieltag)*(IF(OR($O$4="Liga&amp;Friendly",$O$4="nur Liga"),INDEX(Optionen,1,1+VLOOKUP($AE20,Mannschaftsteil,2,FALSE)),0)+IF(OR($O$4="Liga&amp;Friendly",$O$4="nur Friendly"),INDEX(Optionen,2,1+VLOOKUP($AE20,Mannschaftsteil,2,FALSE)),0)))-0.4)))/200*(AG20+'OFM-Transfer'!$Q$4+(35-Spieltag)*(IF(OR($O$4="Liga&amp;Friendly",$O$4="nur Liga"),INDEX(Optionen,1,1+VLOOKUP($AE20,Mannschaftsteil,2,FALSE)),0)+IF(OR($O$4="Liga&amp;Friendly",$O$4="nur Friendly"),INDEX(Optionen,2,1+VLOOKUP($AE20,Mannschaftsteil,2,FALSE)),0))),"")</f>
        <v>#VALUE!</v>
      </c>
      <c r="AR20" s="105">
        <f t="shared" si="12"/>
      </c>
      <c r="AS20" s="130" t="e">
        <f>IF(AND(AF20&gt;0,AR20&gt;=$P$4),INDEX(Transferwert!$A:$XFD,INT(AR20)+1,VLOOKUP(AE20,Offsets,2,FALSE)+AF20+1-17)-AK20-(34-$Y$4)*VLOOKUP(FLOOR($AJ20,1),Gehaltsstruktur,2),"")</f>
        <v>#VALUE!</v>
      </c>
      <c r="AT20" s="107" t="e">
        <f t="shared" si="0"/>
        <v>#VALUE!</v>
      </c>
      <c r="AU20" s="107" t="e">
        <f t="shared" si="1"/>
        <v>#VALUE!</v>
      </c>
      <c r="AV20" s="131">
        <f ca="1">IF($X$43=INFO("Version"),40,"")</f>
      </c>
      <c r="AW20" s="132" t="e">
        <f>IF(AND(AF20&gt;0,AS20&gt;0,AR20&gt;='OFM-Transfer'!$P$4),ROUND(MIN(AS20/3,MAX(0.1*AK20,1.2*(AS20-MAX(AS21:AS28))))+AK20,0-3),"")</f>
        <v>#VALUE!</v>
      </c>
      <c r="AY20" s="110" t="e">
        <f t="shared" si="17"/>
        <v>#NUM!</v>
      </c>
    </row>
    <row r="21" spans="2:51" ht="12.75">
      <c r="B21" s="117">
        <f t="shared" si="2"/>
      </c>
      <c r="C21" s="118">
        <f t="shared" si="2"/>
      </c>
      <c r="D21" s="94">
        <f t="shared" si="2"/>
      </c>
      <c r="E21" s="112">
        <f t="shared" si="2"/>
      </c>
      <c r="F21" s="112">
        <f t="shared" si="2"/>
      </c>
      <c r="G21" s="104">
        <f t="shared" si="2"/>
      </c>
      <c r="H21" s="119">
        <f t="shared" si="2"/>
      </c>
      <c r="I21" s="120">
        <f t="shared" si="2"/>
      </c>
      <c r="J21" s="121">
        <f t="shared" si="2"/>
      </c>
      <c r="K21" s="122">
        <f t="shared" si="2"/>
      </c>
      <c r="L21" s="123">
        <f t="shared" si="13"/>
      </c>
      <c r="M21" s="124">
        <f t="shared" si="2"/>
      </c>
      <c r="N21" s="125">
        <f t="shared" si="2"/>
      </c>
      <c r="O21" s="104">
        <f t="shared" si="2"/>
      </c>
      <c r="P21" s="105">
        <f t="shared" si="2"/>
      </c>
      <c r="Q21" s="126">
        <f t="shared" si="2"/>
      </c>
      <c r="R21" s="107"/>
      <c r="S21" s="107"/>
      <c r="T21" s="131">
        <f t="shared" si="14"/>
      </c>
      <c r="U21" s="122">
        <f t="shared" si="18"/>
      </c>
      <c r="V21" s="347">
        <f t="shared" si="15"/>
      </c>
      <c r="X21" s="109" t="e">
        <f ca="1">IF(AND(X$44=INFO("GesamtSpeich"),AF21&gt;0),INDEX(Transferwert!$A:$XFD,FLOOR(AJ21,1)+1,VLOOKUP(AE21,Offsets,2,FALSE)+AF21-17)+(AJ21-FLOOR(AJ21,1))*(INDEX(Transferwert!$A:$XFD,1+FLOOR(AJ21,1)+1,VLOOKUP(AE21,Offsets,2,FALSE)+AF21-17)-INDEX(Transferwert!$A:$XFD,FLOOR(AJ21,1)+1,VLOOKUP(AE21,Offsets,2,FALSE)+AF21-17)),"")</f>
        <v>#VALUE!</v>
      </c>
      <c r="Y21" s="109" t="e">
        <f ca="1">IF(AND(AF21&gt;0,NOW()-FLOOR(TODAY(),1)-$Z$41&gt;0,NOW()-FLOOR(TODAY(),1)-$Z$41&lt;0.1),INDEX(Transferwert!$A:$XFD,FLOOR(AJ21,1)+1,VLOOKUP($AE21,Offsets,2,FALSE)+AF21+1-17)+(AJ21-FLOOR(AJ21,1))*(INDEX(Transferwert!$A:$XFD,1+FLOOR(AJ21,1)+1,VLOOKUP($AE21,Offsets,2,FALSE)+AF21+1-17)-INDEX(Transferwert!$A:$XFD,FLOOR(AJ21,1)+1,VLOOKUP($AE21,Offsets,2,FALSE)+AF21+1-17)),"")</f>
        <v>#VALUE!</v>
      </c>
      <c r="Z21" s="17" t="e">
        <f t="shared" si="3"/>
        <v>#VALUE!</v>
      </c>
      <c r="AA21" s="110">
        <f t="shared" si="4"/>
      </c>
      <c r="AB21" s="17" t="e">
        <f t="shared" si="16"/>
        <v>#NUM!</v>
      </c>
      <c r="AC21" s="110">
        <f t="shared" si="5"/>
      </c>
      <c r="AD21" s="128" t="e">
        <f>INDEX(Daten!$A$1:$U$1000,4+($AV21-29)*6+$Z$4-1,2)</f>
        <v>#VALUE!</v>
      </c>
      <c r="AE21" s="118" t="e">
        <f>IF($AA$6="OpenOffice",TRIM(INDEX(Daten!$A$1:$U$1000,5+($AV21-29)*6+$Z$4-1,2)),TRIM(INDEX(Daten!$A$1:$U$1000,1+($AV21-29)*1+$Z$4-1,8)))</f>
        <v>#VALUE!</v>
      </c>
      <c r="AF21" s="94" t="e">
        <f>IF($AA$6="OpenOffice",INDEX(Daten!$A$1:$U$1000,5+($AV21-29)*6+$Z$4-1,3),INDEX(Daten!$A$1:$U$1000,1+($AV21-29)*1+$Z$4-1,9))</f>
        <v>#VALUE!</v>
      </c>
      <c r="AG21" s="112" t="e">
        <f>IF($AA$6="OpenOffice",SUBSTITUTE(SUBSTITUTE(LEFT(INDEX(Daten!$A$1:$U$1000,5+($AV21-29)*6+$Z$4-1,5),6),".",""),"/",""),SUBSTITUTE(SUBSTITUTE(LEFT(INDEX(Daten!$A$1:$U$1000,1+($AV21-29)*1+$Z$4-1,11),6),".",""),"/",""))</f>
        <v>#VALUE!</v>
      </c>
      <c r="AH21" s="112" t="e">
        <f>IF($AA$6="OpenOffice",SUBSTITUTE(SUBSTITUTE(RIGHT(INDEX(Daten!$A$1:$U$1000,5+($AV21-29)*6+$Z$4-1,5),6),".",""),"/",""),SUBSTITUTE(SUBSTITUTE(RIGHT(INDEX(Daten!$A$1:$U$1000,1+($AV21-29)*1+$Z$4-1,11),6),".",""),"/",""))</f>
        <v>#VALUE!</v>
      </c>
      <c r="AI21" s="104" t="e">
        <f t="shared" si="6"/>
        <v>#VALUE!</v>
      </c>
      <c r="AJ21" s="119" t="e">
        <f t="shared" si="7"/>
        <v>#VALUE!</v>
      </c>
      <c r="AK21" s="129" t="e">
        <f>IF($AA$6="OpenOffice",INDEX(Daten!$A$1:$U$1000,5+($AV21-29)*6+$Z$4-1,6),INDEX(Daten!$A$1:$U$1000,1+($AV21-29)*1+$Z$4-1,12))</f>
        <v>#VALUE!</v>
      </c>
      <c r="AL21" s="121" t="e">
        <f t="shared" si="8"/>
        <v>#VALUE!</v>
      </c>
      <c r="AM21" s="122" t="e">
        <f t="shared" si="9"/>
        <v>#VALUE!</v>
      </c>
      <c r="AN21" s="123" t="e">
        <f t="shared" si="10"/>
        <v>#VALUE!</v>
      </c>
      <c r="AO21" s="124">
        <f t="shared" si="11"/>
      </c>
      <c r="AP21" s="125" t="e">
        <f>IF(AF21&gt;0,IF(AR21&gt;='OFM-Transfer'!$P$4,AK21-AO21,""),"")</f>
        <v>#VALUE!</v>
      </c>
      <c r="AQ21" s="104" t="e">
        <f>IF(AF21&gt;0,235*SQRT(SQRT(((AH21+$U$4+(35-Spieltag)*INDEX(Optionen,Offset_TP,1+IF(AF21&lt;27,0,1)+VLOOKUP($AE21,Mannschaftsteil,2,FALSE)))/(AG21+'OFM-Transfer'!$Q$4+(35-Spieltag)*(IF(OR($O$4="Liga&amp;Friendly",$O$4="nur Liga"),INDEX(Optionen,1,1+VLOOKUP($AE21,Mannschaftsteil,2,FALSE)),0)+IF(OR($O$4="Liga&amp;Friendly",$O$4="nur Friendly"),INDEX(Optionen,2,1+VLOOKUP($AE21,Mannschaftsteil,2,FALSE)),0)))-0.4)))/200*(AG21+'OFM-Transfer'!$Q$4+(35-Spieltag)*(IF(OR($O$4="Liga&amp;Friendly",$O$4="nur Liga"),INDEX(Optionen,1,1+VLOOKUP($AE21,Mannschaftsteil,2,FALSE)),0)+IF(OR($O$4="Liga&amp;Friendly",$O$4="nur Friendly"),INDEX(Optionen,2,1+VLOOKUP($AE21,Mannschaftsteil,2,FALSE)),0))),"")</f>
        <v>#VALUE!</v>
      </c>
      <c r="AR21" s="105">
        <f t="shared" si="12"/>
      </c>
      <c r="AS21" s="130" t="e">
        <f>IF(AND(AF21&gt;0,AR21&gt;=$P$4),INDEX(Transferwert!$A:$XFD,INT(AR21)+1,VLOOKUP(AE21,Offsets,2,FALSE)+AF21+1-17)-AK21-(34-$Y$4)*VLOOKUP(FLOOR($AJ21,1),Gehaltsstruktur,2),"")</f>
        <v>#VALUE!</v>
      </c>
      <c r="AT21" s="107" t="e">
        <f t="shared" si="0"/>
        <v>#VALUE!</v>
      </c>
      <c r="AU21" s="107" t="e">
        <f t="shared" si="1"/>
        <v>#VALUE!</v>
      </c>
      <c r="AV21" s="131">
        <f ca="1">IF($X$43=INFO("Version"),41,"")</f>
      </c>
      <c r="AW21" s="132" t="e">
        <f>IF(AND(AF21&gt;0,AS21&gt;0,AR21&gt;='OFM-Transfer'!$P$4),ROUND(MIN(AS21/3,MAX(0.1*AK21,1.2*(AS21-MAX(AS22:AS29))))+AK21,0-3),"")</f>
        <v>#VALUE!</v>
      </c>
      <c r="AY21" s="110" t="e">
        <f t="shared" si="17"/>
        <v>#NUM!</v>
      </c>
    </row>
    <row r="22" spans="2:51" ht="12.75">
      <c r="B22" s="117">
        <f t="shared" si="2"/>
      </c>
      <c r="C22" s="118">
        <f t="shared" si="2"/>
      </c>
      <c r="D22" s="94">
        <f t="shared" si="2"/>
      </c>
      <c r="E22" s="112">
        <f t="shared" si="2"/>
      </c>
      <c r="F22" s="112">
        <f t="shared" si="2"/>
      </c>
      <c r="G22" s="104">
        <f t="shared" si="2"/>
      </c>
      <c r="H22" s="119">
        <f t="shared" si="2"/>
      </c>
      <c r="I22" s="120">
        <f t="shared" si="2"/>
      </c>
      <c r="J22" s="121">
        <f t="shared" si="2"/>
      </c>
      <c r="K22" s="122">
        <f t="shared" si="2"/>
      </c>
      <c r="L22" s="123">
        <f t="shared" si="13"/>
      </c>
      <c r="M22" s="124">
        <f t="shared" si="2"/>
      </c>
      <c r="N22" s="125">
        <f t="shared" si="2"/>
      </c>
      <c r="O22" s="104">
        <f t="shared" si="2"/>
      </c>
      <c r="P22" s="105">
        <f t="shared" si="2"/>
      </c>
      <c r="Q22" s="126">
        <f t="shared" si="2"/>
      </c>
      <c r="R22" s="107"/>
      <c r="S22" s="107"/>
      <c r="T22" s="131">
        <f t="shared" si="14"/>
      </c>
      <c r="U22" s="122">
        <f t="shared" si="18"/>
      </c>
      <c r="V22" s="347">
        <f t="shared" si="15"/>
      </c>
      <c r="X22" s="109" t="e">
        <f ca="1">IF(AND(X$44=INFO("GesamtSpeich"),AF22&gt;0),INDEX(Transferwert!$A:$XFD,FLOOR(AJ22,1)+1,VLOOKUP(AE22,Offsets,2,FALSE)+AF22-17)+(AJ22-FLOOR(AJ22,1))*(INDEX(Transferwert!$A:$XFD,1+FLOOR(AJ22,1)+1,VLOOKUP(AE22,Offsets,2,FALSE)+AF22-17)-INDEX(Transferwert!$A:$XFD,FLOOR(AJ22,1)+1,VLOOKUP(AE22,Offsets,2,FALSE)+AF22-17)),"")</f>
        <v>#VALUE!</v>
      </c>
      <c r="Y22" s="109" t="e">
        <f ca="1">IF(AND(AF22&gt;0,NOW()-FLOOR(TODAY(),1)-$Z$41&gt;0,NOW()-FLOOR(TODAY(),1)-$Z$41&lt;0.1),INDEX(Transferwert!$A:$XFD,FLOOR(AJ22,1)+1,VLOOKUP($AE22,Offsets,2,FALSE)+AF22+1-17)+(AJ22-FLOOR(AJ22,1))*(INDEX(Transferwert!$A:$XFD,1+FLOOR(AJ22,1)+1,VLOOKUP($AE22,Offsets,2,FALSE)+AF22+1-17)-INDEX(Transferwert!$A:$XFD,FLOOR(AJ22,1)+1,VLOOKUP($AE22,Offsets,2,FALSE)+AF22+1-17)),"")</f>
        <v>#VALUE!</v>
      </c>
      <c r="Z22" s="17" t="e">
        <f t="shared" si="3"/>
        <v>#VALUE!</v>
      </c>
      <c r="AA22" s="110">
        <f t="shared" si="4"/>
      </c>
      <c r="AB22" s="17" t="e">
        <f t="shared" si="16"/>
        <v>#NUM!</v>
      </c>
      <c r="AC22" s="110">
        <f t="shared" si="5"/>
      </c>
      <c r="AD22" s="128" t="e">
        <f>INDEX(Daten!$A$1:$U$1000,4+($AV22-29)*6+$Z$4-1,2)</f>
        <v>#VALUE!</v>
      </c>
      <c r="AE22" s="118" t="e">
        <f>IF($AA$6="OpenOffice",TRIM(INDEX(Daten!$A$1:$U$1000,5+($AV22-29)*6+$Z$4-1,2)),TRIM(INDEX(Daten!$A$1:$U$1000,1+($AV22-29)*1+$Z$4-1,8)))</f>
        <v>#VALUE!</v>
      </c>
      <c r="AF22" s="94" t="e">
        <f>IF($AA$6="OpenOffice",INDEX(Daten!$A$1:$U$1000,5+($AV22-29)*6+$Z$4-1,3),INDEX(Daten!$A$1:$U$1000,1+($AV22-29)*1+$Z$4-1,9))</f>
        <v>#VALUE!</v>
      </c>
      <c r="AG22" s="112" t="e">
        <f>IF($AA$6="OpenOffice",SUBSTITUTE(SUBSTITUTE(LEFT(INDEX(Daten!$A$1:$U$1000,5+($AV22-29)*6+$Z$4-1,5),6),".",""),"/",""),SUBSTITUTE(SUBSTITUTE(LEFT(INDEX(Daten!$A$1:$U$1000,1+($AV22-29)*1+$Z$4-1,11),6),".",""),"/",""))</f>
        <v>#VALUE!</v>
      </c>
      <c r="AH22" s="112" t="e">
        <f>IF($AA$6="OpenOffice",SUBSTITUTE(SUBSTITUTE(RIGHT(INDEX(Daten!$A$1:$U$1000,5+($AV22-29)*6+$Z$4-1,5),6),".",""),"/",""),SUBSTITUTE(SUBSTITUTE(RIGHT(INDEX(Daten!$A$1:$U$1000,1+($AV22-29)*1+$Z$4-1,11),6),".",""),"/",""))</f>
        <v>#VALUE!</v>
      </c>
      <c r="AI22" s="104" t="e">
        <f t="shared" si="6"/>
        <v>#VALUE!</v>
      </c>
      <c r="AJ22" s="119" t="e">
        <f t="shared" si="7"/>
        <v>#VALUE!</v>
      </c>
      <c r="AK22" s="129" t="e">
        <f>IF($AA$6="OpenOffice",INDEX(Daten!$A$1:$U$1000,5+($AV22-29)*6+$Z$4-1,6),INDEX(Daten!$A$1:$U$1000,1+($AV22-29)*1+$Z$4-1,12))</f>
        <v>#VALUE!</v>
      </c>
      <c r="AL22" s="121" t="e">
        <f t="shared" si="8"/>
        <v>#VALUE!</v>
      </c>
      <c r="AM22" s="122" t="e">
        <f t="shared" si="9"/>
        <v>#VALUE!</v>
      </c>
      <c r="AN22" s="123" t="e">
        <f t="shared" si="10"/>
        <v>#VALUE!</v>
      </c>
      <c r="AO22" s="124">
        <f t="shared" si="11"/>
      </c>
      <c r="AP22" s="125" t="e">
        <f>IF(AF22&gt;0,IF(AR22&gt;='OFM-Transfer'!$P$4,AK22-AO22,""),"")</f>
        <v>#VALUE!</v>
      </c>
      <c r="AQ22" s="104" t="e">
        <f>IF(AF22&gt;0,235*SQRT(SQRT(((AH22+$U$4+(35-Spieltag)*INDEX(Optionen,Offset_TP,1+IF(AF22&lt;27,0,1)+VLOOKUP($AE22,Mannschaftsteil,2,FALSE)))/(AG22+'OFM-Transfer'!$Q$4+(35-Spieltag)*(IF(OR($O$4="Liga&amp;Friendly",$O$4="nur Liga"),INDEX(Optionen,1,1+VLOOKUP($AE22,Mannschaftsteil,2,FALSE)),0)+IF(OR($O$4="Liga&amp;Friendly",$O$4="nur Friendly"),INDEX(Optionen,2,1+VLOOKUP($AE22,Mannschaftsteil,2,FALSE)),0)))-0.4)))/200*(AG22+'OFM-Transfer'!$Q$4+(35-Spieltag)*(IF(OR($O$4="Liga&amp;Friendly",$O$4="nur Liga"),INDEX(Optionen,1,1+VLOOKUP($AE22,Mannschaftsteil,2,FALSE)),0)+IF(OR($O$4="Liga&amp;Friendly",$O$4="nur Friendly"),INDEX(Optionen,2,1+VLOOKUP($AE22,Mannschaftsteil,2,FALSE)),0))),"")</f>
        <v>#VALUE!</v>
      </c>
      <c r="AR22" s="105">
        <f t="shared" si="12"/>
      </c>
      <c r="AS22" s="130" t="e">
        <f>IF(AND(AF22&gt;0,AR22&gt;=$P$4),INDEX(Transferwert!$A:$XFD,INT(AR22)+1,VLOOKUP(AE22,Offsets,2,FALSE)+AF22+1-17)-AK22-(34-$Y$4)*VLOOKUP(FLOOR($AJ22,1),Gehaltsstruktur,2),"")</f>
        <v>#VALUE!</v>
      </c>
      <c r="AT22" s="107" t="e">
        <f t="shared" si="0"/>
        <v>#VALUE!</v>
      </c>
      <c r="AU22" s="107" t="e">
        <f t="shared" si="1"/>
        <v>#VALUE!</v>
      </c>
      <c r="AV22" s="131">
        <f ca="1">IF($X$43=INFO("Version"),42,"")</f>
      </c>
      <c r="AW22" s="132" t="e">
        <f>IF(AND(AF22&gt;0,AS22&gt;0,AR22&gt;='OFM-Transfer'!$P$4),ROUND(MIN(AS22/3,MAX(0.1*AK22,1.2*(AS22-MAX(AS23:AS30))))+AK22,0-3),"")</f>
        <v>#VALUE!</v>
      </c>
      <c r="AY22" s="110" t="e">
        <f t="shared" si="17"/>
        <v>#NUM!</v>
      </c>
    </row>
    <row r="23" spans="2:51" ht="12.75">
      <c r="B23" s="117">
        <f t="shared" si="2"/>
      </c>
      <c r="C23" s="118">
        <f t="shared" si="2"/>
      </c>
      <c r="D23" s="94">
        <f t="shared" si="2"/>
      </c>
      <c r="E23" s="112">
        <f t="shared" si="2"/>
      </c>
      <c r="F23" s="112">
        <f t="shared" si="2"/>
      </c>
      <c r="G23" s="104">
        <f t="shared" si="2"/>
      </c>
      <c r="H23" s="119">
        <f t="shared" si="2"/>
      </c>
      <c r="I23" s="120">
        <f t="shared" si="2"/>
      </c>
      <c r="J23" s="121">
        <f t="shared" si="2"/>
      </c>
      <c r="K23" s="122">
        <f t="shared" si="2"/>
      </c>
      <c r="L23" s="123">
        <f t="shared" si="13"/>
      </c>
      <c r="M23" s="124">
        <f t="shared" si="2"/>
      </c>
      <c r="N23" s="125">
        <f t="shared" si="2"/>
      </c>
      <c r="O23" s="104">
        <f t="shared" si="2"/>
      </c>
      <c r="P23" s="105">
        <f t="shared" si="2"/>
      </c>
      <c r="Q23" s="126">
        <f t="shared" si="2"/>
      </c>
      <c r="R23" s="107"/>
      <c r="S23" s="107"/>
      <c r="T23" s="131">
        <f t="shared" si="14"/>
      </c>
      <c r="U23" s="122">
        <f t="shared" si="18"/>
      </c>
      <c r="V23" s="347">
        <f t="shared" si="15"/>
      </c>
      <c r="X23" s="109" t="e">
        <f ca="1">IF(AND(X$44=INFO("GesamtSpeich"),AF23&gt;0),INDEX(Transferwert!$A:$XFD,FLOOR(AJ23,1)+1,VLOOKUP(AE23,Offsets,2,FALSE)+AF23-17)+(AJ23-FLOOR(AJ23,1))*(INDEX(Transferwert!$A:$XFD,1+FLOOR(AJ23,1)+1,VLOOKUP(AE23,Offsets,2,FALSE)+AF23-17)-INDEX(Transferwert!$A:$XFD,FLOOR(AJ23,1)+1,VLOOKUP(AE23,Offsets,2,FALSE)+AF23-17)),"")</f>
        <v>#VALUE!</v>
      </c>
      <c r="Y23" s="109" t="e">
        <f ca="1">IF(AND(AF23&gt;0,NOW()-FLOOR(TODAY(),1)-$Z$41&gt;0,NOW()-FLOOR(TODAY(),1)-$Z$41&lt;0.1),INDEX(Transferwert!$A:$XFD,FLOOR(AJ23,1)+1,VLOOKUP($AE23,Offsets,2,FALSE)+AF23+1-17)+(AJ23-FLOOR(AJ23,1))*(INDEX(Transferwert!$A:$XFD,1+FLOOR(AJ23,1)+1,VLOOKUP($AE23,Offsets,2,FALSE)+AF23+1-17)-INDEX(Transferwert!$A:$XFD,FLOOR(AJ23,1)+1,VLOOKUP($AE23,Offsets,2,FALSE)+AF23+1-17)),"")</f>
        <v>#VALUE!</v>
      </c>
      <c r="Z23" s="17" t="e">
        <f t="shared" si="3"/>
        <v>#VALUE!</v>
      </c>
      <c r="AA23" s="110">
        <f t="shared" si="4"/>
      </c>
      <c r="AB23" s="17" t="e">
        <f t="shared" si="16"/>
        <v>#NUM!</v>
      </c>
      <c r="AC23" s="110">
        <f t="shared" si="5"/>
      </c>
      <c r="AD23" s="128" t="e">
        <f>INDEX(Daten!$A$1:$U$1000,4+($AV23-29)*6+$Z$4-1,2)</f>
        <v>#VALUE!</v>
      </c>
      <c r="AE23" s="118" t="e">
        <f>IF($AA$6="OpenOffice",TRIM(INDEX(Daten!$A$1:$U$1000,5+($AV23-29)*6+$Z$4-1,2)),TRIM(INDEX(Daten!$A$1:$U$1000,1+($AV23-29)*1+$Z$4-1,8)))</f>
        <v>#VALUE!</v>
      </c>
      <c r="AF23" s="94" t="e">
        <f>IF($AA$6="OpenOffice",INDEX(Daten!$A$1:$U$1000,5+($AV23-29)*6+$Z$4-1,3),INDEX(Daten!$A$1:$U$1000,1+($AV23-29)*1+$Z$4-1,9))</f>
        <v>#VALUE!</v>
      </c>
      <c r="AG23" s="112" t="e">
        <f>IF($AA$6="OpenOffice",SUBSTITUTE(SUBSTITUTE(LEFT(INDEX(Daten!$A$1:$U$1000,5+($AV23-29)*6+$Z$4-1,5),6),".",""),"/",""),SUBSTITUTE(SUBSTITUTE(LEFT(INDEX(Daten!$A$1:$U$1000,1+($AV23-29)*1+$Z$4-1,11),6),".",""),"/",""))</f>
        <v>#VALUE!</v>
      </c>
      <c r="AH23" s="112" t="e">
        <f>IF($AA$6="OpenOffice",SUBSTITUTE(SUBSTITUTE(RIGHT(INDEX(Daten!$A$1:$U$1000,5+($AV23-29)*6+$Z$4-1,5),6),".",""),"/",""),SUBSTITUTE(SUBSTITUTE(RIGHT(INDEX(Daten!$A$1:$U$1000,1+($AV23-29)*1+$Z$4-1,11),6),".",""),"/",""))</f>
        <v>#VALUE!</v>
      </c>
      <c r="AI23" s="104" t="e">
        <f t="shared" si="6"/>
        <v>#VALUE!</v>
      </c>
      <c r="AJ23" s="119" t="e">
        <f t="shared" si="7"/>
        <v>#VALUE!</v>
      </c>
      <c r="AK23" s="129" t="e">
        <f>IF($AA$6="OpenOffice",INDEX(Daten!$A$1:$U$1000,5+($AV23-29)*6+$Z$4-1,6),INDEX(Daten!$A$1:$U$1000,1+($AV23-29)*1+$Z$4-1,12))</f>
        <v>#VALUE!</v>
      </c>
      <c r="AL23" s="121" t="e">
        <f t="shared" si="8"/>
        <v>#VALUE!</v>
      </c>
      <c r="AM23" s="122" t="e">
        <f t="shared" si="9"/>
        <v>#VALUE!</v>
      </c>
      <c r="AN23" s="123" t="e">
        <f t="shared" si="10"/>
        <v>#VALUE!</v>
      </c>
      <c r="AO23" s="124">
        <f t="shared" si="11"/>
      </c>
      <c r="AP23" s="125" t="e">
        <f>IF(AF23&gt;0,IF(AR23&gt;='OFM-Transfer'!$P$4,AK23-AO23,""),"")</f>
        <v>#VALUE!</v>
      </c>
      <c r="AQ23" s="104" t="e">
        <f>IF(AF23&gt;0,235*SQRT(SQRT(((AH23+$U$4+(35-Spieltag)*INDEX(Optionen,Offset_TP,1+IF(AF23&lt;27,0,1)+VLOOKUP($AE23,Mannschaftsteil,2,FALSE)))/(AG23+'OFM-Transfer'!$Q$4+(35-Spieltag)*(IF(OR($O$4="Liga&amp;Friendly",$O$4="nur Liga"),INDEX(Optionen,1,1+VLOOKUP($AE23,Mannschaftsteil,2,FALSE)),0)+IF(OR($O$4="Liga&amp;Friendly",$O$4="nur Friendly"),INDEX(Optionen,2,1+VLOOKUP($AE23,Mannschaftsteil,2,FALSE)),0)))-0.4)))/200*(AG23+'OFM-Transfer'!$Q$4+(35-Spieltag)*(IF(OR($O$4="Liga&amp;Friendly",$O$4="nur Liga"),INDEX(Optionen,1,1+VLOOKUP($AE23,Mannschaftsteil,2,FALSE)),0)+IF(OR($O$4="Liga&amp;Friendly",$O$4="nur Friendly"),INDEX(Optionen,2,1+VLOOKUP($AE23,Mannschaftsteil,2,FALSE)),0))),"")</f>
        <v>#VALUE!</v>
      </c>
      <c r="AR23" s="105">
        <f t="shared" si="12"/>
      </c>
      <c r="AS23" s="130" t="e">
        <f>IF(AND(AF23&gt;0,AR23&gt;=$P$4),INDEX(Transferwert!$A:$XFD,INT(AR23)+1,VLOOKUP(AE23,Offsets,2,FALSE)+AF23+1-17)-AK23-(34-$Y$4)*VLOOKUP(FLOOR($AJ23,1),Gehaltsstruktur,2),"")</f>
        <v>#VALUE!</v>
      </c>
      <c r="AT23" s="107" t="e">
        <f t="shared" si="0"/>
        <v>#VALUE!</v>
      </c>
      <c r="AU23" s="107" t="e">
        <f t="shared" si="1"/>
        <v>#VALUE!</v>
      </c>
      <c r="AV23" s="131">
        <f ca="1">IF($X$43=INFO("Version"),43,"")</f>
      </c>
      <c r="AW23" s="132" t="e">
        <f>IF(AND(AF23&gt;0,AS23&gt;0,AR23&gt;='OFM-Transfer'!$P$4),ROUND(MIN(AS23/3,MAX(0.1*AK23,1.2*(AS23-MAX(AS24:AS31))))+AK23,0-3),"")</f>
        <v>#VALUE!</v>
      </c>
      <c r="AY23" s="110" t="e">
        <f t="shared" si="17"/>
        <v>#NUM!</v>
      </c>
    </row>
    <row r="24" spans="2:51" ht="12.75">
      <c r="B24" s="117">
        <f t="shared" si="2"/>
      </c>
      <c r="C24" s="118">
        <f t="shared" si="2"/>
      </c>
      <c r="D24" s="94">
        <f t="shared" si="2"/>
      </c>
      <c r="E24" s="112">
        <f t="shared" si="2"/>
      </c>
      <c r="F24" s="112">
        <f t="shared" si="2"/>
      </c>
      <c r="G24" s="104">
        <f t="shared" si="2"/>
      </c>
      <c r="H24" s="119">
        <f t="shared" si="2"/>
      </c>
      <c r="I24" s="120">
        <f t="shared" si="2"/>
      </c>
      <c r="J24" s="121">
        <f t="shared" si="2"/>
      </c>
      <c r="K24" s="122">
        <f t="shared" si="2"/>
      </c>
      <c r="L24" s="123">
        <f t="shared" si="13"/>
      </c>
      <c r="M24" s="124">
        <f t="shared" si="2"/>
      </c>
      <c r="N24" s="125">
        <f t="shared" si="2"/>
      </c>
      <c r="O24" s="104">
        <f t="shared" si="2"/>
      </c>
      <c r="P24" s="105">
        <f t="shared" si="2"/>
      </c>
      <c r="Q24" s="126">
        <f aca="true" t="shared" si="19" ref="Q24:Q38">IF(ISERROR(INDEX($AD$9:$AW$38,$T24,COLUMN()-1)),"",INDEX($AD$9:$AW$38,$T24,COLUMN()-1))</f>
      </c>
      <c r="R24" s="107"/>
      <c r="S24" s="107"/>
      <c r="T24" s="131">
        <f t="shared" si="14"/>
      </c>
      <c r="U24" s="122">
        <f t="shared" si="18"/>
      </c>
      <c r="V24" s="347">
        <f t="shared" si="15"/>
      </c>
      <c r="X24" s="109" t="e">
        <f ca="1">IF(AND(X$44=INFO("GesamtSpeich"),AF24&gt;0),INDEX(Transferwert!$A:$XFD,FLOOR(AJ24,1)+1,VLOOKUP(AE24,Offsets,2,FALSE)+AF24-17)+(AJ24-FLOOR(AJ24,1))*(INDEX(Transferwert!$A:$XFD,1+FLOOR(AJ24,1)+1,VLOOKUP(AE24,Offsets,2,FALSE)+AF24-17)-INDEX(Transferwert!$A:$XFD,FLOOR(AJ24,1)+1,VLOOKUP(AE24,Offsets,2,FALSE)+AF24-17)),"")</f>
        <v>#VALUE!</v>
      </c>
      <c r="Y24" s="109" t="e">
        <f ca="1">IF(AND(AF24&gt;0,NOW()-FLOOR(TODAY(),1)-$Z$41&gt;0,NOW()-FLOOR(TODAY(),1)-$Z$41&lt;0.1),INDEX(Transferwert!$A:$XFD,FLOOR(AJ24,1)+1,VLOOKUP($AE24,Offsets,2,FALSE)+AF24+1-17)+(AJ24-FLOOR(AJ24,1))*(INDEX(Transferwert!$A:$XFD,1+FLOOR(AJ24,1)+1,VLOOKUP($AE24,Offsets,2,FALSE)+AF24+1-17)-INDEX(Transferwert!$A:$XFD,FLOOR(AJ24,1)+1,VLOOKUP($AE24,Offsets,2,FALSE)+AF24+1-17)),"")</f>
        <v>#VALUE!</v>
      </c>
      <c r="Z24" s="17" t="e">
        <f t="shared" si="3"/>
        <v>#VALUE!</v>
      </c>
      <c r="AA24" s="110">
        <f t="shared" si="4"/>
      </c>
      <c r="AB24" s="17" t="e">
        <f t="shared" si="16"/>
        <v>#NUM!</v>
      </c>
      <c r="AC24" s="110">
        <f t="shared" si="5"/>
      </c>
      <c r="AD24" s="128" t="e">
        <f>INDEX(Daten!$A$1:$U$1000,4+($AV24-29)*6+$Z$4-1,2)</f>
        <v>#VALUE!</v>
      </c>
      <c r="AE24" s="118" t="e">
        <f>IF($AA$6="OpenOffice",TRIM(INDEX(Daten!$A$1:$U$1000,5+($AV24-29)*6+$Z$4-1,2)),TRIM(INDEX(Daten!$A$1:$U$1000,1+($AV24-29)*1+$Z$4-1,8)))</f>
        <v>#VALUE!</v>
      </c>
      <c r="AF24" s="94" t="e">
        <f>IF($AA$6="OpenOffice",INDEX(Daten!$A$1:$U$1000,5+($AV24-29)*6+$Z$4-1,3),INDEX(Daten!$A$1:$U$1000,1+($AV24-29)*1+$Z$4-1,9))</f>
        <v>#VALUE!</v>
      </c>
      <c r="AG24" s="112" t="e">
        <f>IF($AA$6="OpenOffice",SUBSTITUTE(SUBSTITUTE(LEFT(INDEX(Daten!$A$1:$U$1000,5+($AV24-29)*6+$Z$4-1,5),6),".",""),"/",""),SUBSTITUTE(SUBSTITUTE(LEFT(INDEX(Daten!$A$1:$U$1000,1+($AV24-29)*1+$Z$4-1,11),6),".",""),"/",""))</f>
        <v>#VALUE!</v>
      </c>
      <c r="AH24" s="112" t="e">
        <f>IF($AA$6="OpenOffice",SUBSTITUTE(SUBSTITUTE(RIGHT(INDEX(Daten!$A$1:$U$1000,5+($AV24-29)*6+$Z$4-1,5),6),".",""),"/",""),SUBSTITUTE(SUBSTITUTE(RIGHT(INDEX(Daten!$A$1:$U$1000,1+($AV24-29)*1+$Z$4-1,11),6),".",""),"/",""))</f>
        <v>#VALUE!</v>
      </c>
      <c r="AI24" s="104" t="e">
        <f t="shared" si="6"/>
        <v>#VALUE!</v>
      </c>
      <c r="AJ24" s="119" t="e">
        <f t="shared" si="7"/>
        <v>#VALUE!</v>
      </c>
      <c r="AK24" s="129" t="e">
        <f>IF($AA$6="OpenOffice",INDEX(Daten!$A$1:$U$1000,5+($AV24-29)*6+$Z$4-1,6),INDEX(Daten!$A$1:$U$1000,1+($AV24-29)*1+$Z$4-1,12))</f>
        <v>#VALUE!</v>
      </c>
      <c r="AL24" s="121" t="e">
        <f t="shared" si="8"/>
        <v>#VALUE!</v>
      </c>
      <c r="AM24" s="122" t="e">
        <f t="shared" si="9"/>
        <v>#VALUE!</v>
      </c>
      <c r="AN24" s="123" t="e">
        <f t="shared" si="10"/>
        <v>#VALUE!</v>
      </c>
      <c r="AO24" s="124">
        <f t="shared" si="11"/>
      </c>
      <c r="AP24" s="125" t="e">
        <f>IF(AF24&gt;0,IF(AR24&gt;='OFM-Transfer'!$P$4,AK24-AO24,""),"")</f>
        <v>#VALUE!</v>
      </c>
      <c r="AQ24" s="104" t="e">
        <f>IF(AF24&gt;0,235*SQRT(SQRT(((AH24+$U$4+(35-Spieltag)*INDEX(Optionen,Offset_TP,1+IF(AF24&lt;27,0,1)+VLOOKUP($AE24,Mannschaftsteil,2,FALSE)))/(AG24+'OFM-Transfer'!$Q$4+(35-Spieltag)*(IF(OR($O$4="Liga&amp;Friendly",$O$4="nur Liga"),INDEX(Optionen,1,1+VLOOKUP($AE24,Mannschaftsteil,2,FALSE)),0)+IF(OR($O$4="Liga&amp;Friendly",$O$4="nur Friendly"),INDEX(Optionen,2,1+VLOOKUP($AE24,Mannschaftsteil,2,FALSE)),0)))-0.4)))/200*(AG24+'OFM-Transfer'!$Q$4+(35-Spieltag)*(IF(OR($O$4="Liga&amp;Friendly",$O$4="nur Liga"),INDEX(Optionen,1,1+VLOOKUP($AE24,Mannschaftsteil,2,FALSE)),0)+IF(OR($O$4="Liga&amp;Friendly",$O$4="nur Friendly"),INDEX(Optionen,2,1+VLOOKUP($AE24,Mannschaftsteil,2,FALSE)),0))),"")</f>
        <v>#VALUE!</v>
      </c>
      <c r="AR24" s="105">
        <f t="shared" si="12"/>
      </c>
      <c r="AS24" s="130" t="e">
        <f>IF(AND(AF24&gt;0,AR24&gt;=$P$4),INDEX(Transferwert!$A:$XFD,INT(AR24)+1,VLOOKUP(AE24,Offsets,2,FALSE)+AF24+1-17)-AK24-(34-$Y$4)*VLOOKUP(FLOOR($AJ24,1),Gehaltsstruktur,2),"")</f>
        <v>#VALUE!</v>
      </c>
      <c r="AT24" s="107" t="e">
        <f t="shared" si="0"/>
        <v>#VALUE!</v>
      </c>
      <c r="AU24" s="107" t="e">
        <f t="shared" si="1"/>
        <v>#VALUE!</v>
      </c>
      <c r="AV24" s="131">
        <f ca="1">IF($X$43=INFO("Version"),44,"")</f>
      </c>
      <c r="AW24" s="132" t="e">
        <f>IF(AND(AF24&gt;0,AS24&gt;0,AR24&gt;='OFM-Transfer'!$P$4),ROUND(MIN(AS24/3,MAX(0.1*AK24,1.2*(AS24-MAX(AS25:AS32))))+AK24,0-3),"")</f>
        <v>#VALUE!</v>
      </c>
      <c r="AY24" s="110" t="e">
        <f t="shared" si="17"/>
        <v>#NUM!</v>
      </c>
    </row>
    <row r="25" spans="2:51" ht="12.75">
      <c r="B25" s="117">
        <f aca="true" t="shared" si="20" ref="B25:P38">IF(ISERROR(INDEX($AD$9:$AW$38,$T25,COLUMN()-1)),"",INDEX($AD$9:$AW$38,$T25,COLUMN()-1))</f>
      </c>
      <c r="C25" s="118">
        <f t="shared" si="20"/>
      </c>
      <c r="D25" s="94">
        <f t="shared" si="20"/>
      </c>
      <c r="E25" s="112">
        <f t="shared" si="20"/>
      </c>
      <c r="F25" s="112">
        <f t="shared" si="20"/>
      </c>
      <c r="G25" s="104">
        <f t="shared" si="20"/>
      </c>
      <c r="H25" s="119">
        <f t="shared" si="20"/>
      </c>
      <c r="I25" s="120">
        <f t="shared" si="20"/>
      </c>
      <c r="J25" s="121">
        <f t="shared" si="20"/>
      </c>
      <c r="K25" s="122">
        <f t="shared" si="20"/>
      </c>
      <c r="L25" s="123">
        <f t="shared" si="13"/>
      </c>
      <c r="M25" s="124">
        <f t="shared" si="20"/>
      </c>
      <c r="N25" s="125">
        <f t="shared" si="20"/>
      </c>
      <c r="O25" s="104">
        <f t="shared" si="20"/>
      </c>
      <c r="P25" s="105">
        <f t="shared" si="20"/>
      </c>
      <c r="Q25" s="126">
        <f t="shared" si="19"/>
      </c>
      <c r="R25" s="107"/>
      <c r="S25" s="107"/>
      <c r="T25" s="131">
        <f t="shared" si="14"/>
      </c>
      <c r="U25" s="122">
        <f t="shared" si="18"/>
      </c>
      <c r="V25" s="347">
        <f t="shared" si="15"/>
      </c>
      <c r="X25" s="109" t="e">
        <f ca="1">IF(AND(X$44=INFO("GesamtSpeich"),AF25&gt;0),INDEX(Transferwert!$A:$XFD,FLOOR(AJ25,1)+1,VLOOKUP(AE25,Offsets,2,FALSE)+AF25-17)+(AJ25-FLOOR(AJ25,1))*(INDEX(Transferwert!$A:$XFD,1+FLOOR(AJ25,1)+1,VLOOKUP(AE25,Offsets,2,FALSE)+AF25-17)-INDEX(Transferwert!$A:$XFD,FLOOR(AJ25,1)+1,VLOOKUP(AE25,Offsets,2,FALSE)+AF25-17)),"")</f>
        <v>#VALUE!</v>
      </c>
      <c r="Y25" s="109" t="e">
        <f ca="1">IF(AND(AF25&gt;0,NOW()-FLOOR(TODAY(),1)-$Z$41&gt;0,NOW()-FLOOR(TODAY(),1)-$Z$41&lt;0.1),INDEX(Transferwert!$A:$XFD,FLOOR(AJ25,1)+1,VLOOKUP($AE25,Offsets,2,FALSE)+AF25+1-17)+(AJ25-FLOOR(AJ25,1))*(INDEX(Transferwert!$A:$XFD,1+FLOOR(AJ25,1)+1,VLOOKUP($AE25,Offsets,2,FALSE)+AF25+1-17)-INDEX(Transferwert!$A:$XFD,FLOOR(AJ25,1)+1,VLOOKUP($AE25,Offsets,2,FALSE)+AF25+1-17)),"")</f>
        <v>#VALUE!</v>
      </c>
      <c r="Z25" s="17" t="e">
        <f t="shared" si="3"/>
        <v>#VALUE!</v>
      </c>
      <c r="AA25" s="110">
        <f t="shared" si="4"/>
      </c>
      <c r="AB25" s="17" t="e">
        <f t="shared" si="16"/>
        <v>#NUM!</v>
      </c>
      <c r="AC25" s="110">
        <f t="shared" si="5"/>
      </c>
      <c r="AD25" s="128" t="e">
        <f>INDEX(Daten!$A$1:$U$1000,4+($AV25-29)*6+$Z$4-1,2)</f>
        <v>#VALUE!</v>
      </c>
      <c r="AE25" s="118" t="e">
        <f>IF($AA$6="OpenOffice",TRIM(INDEX(Daten!$A$1:$U$1000,5+($AV25-29)*6+$Z$4-1,2)),TRIM(INDEX(Daten!$A$1:$U$1000,1+($AV25-29)*1+$Z$4-1,8)))</f>
        <v>#VALUE!</v>
      </c>
      <c r="AF25" s="94" t="e">
        <f>IF($AA$6="OpenOffice",INDEX(Daten!$A$1:$U$1000,5+($AV25-29)*6+$Z$4-1,3),INDEX(Daten!$A$1:$U$1000,1+($AV25-29)*1+$Z$4-1,9))</f>
        <v>#VALUE!</v>
      </c>
      <c r="AG25" s="112" t="e">
        <f>IF($AA$6="OpenOffice",SUBSTITUTE(SUBSTITUTE(LEFT(INDEX(Daten!$A$1:$U$1000,5+($AV25-29)*6+$Z$4-1,5),6),".",""),"/",""),SUBSTITUTE(SUBSTITUTE(LEFT(INDEX(Daten!$A$1:$U$1000,1+($AV25-29)*1+$Z$4-1,11),6),".",""),"/",""))</f>
        <v>#VALUE!</v>
      </c>
      <c r="AH25" s="112" t="e">
        <f>IF($AA$6="OpenOffice",SUBSTITUTE(SUBSTITUTE(RIGHT(INDEX(Daten!$A$1:$U$1000,5+($AV25-29)*6+$Z$4-1,5),6),".",""),"/",""),SUBSTITUTE(SUBSTITUTE(RIGHT(INDEX(Daten!$A$1:$U$1000,1+($AV25-29)*1+$Z$4-1,11),6),".",""),"/",""))</f>
        <v>#VALUE!</v>
      </c>
      <c r="AI25" s="104" t="e">
        <f t="shared" si="6"/>
        <v>#VALUE!</v>
      </c>
      <c r="AJ25" s="119" t="e">
        <f t="shared" si="7"/>
        <v>#VALUE!</v>
      </c>
      <c r="AK25" s="129" t="e">
        <f>IF($AA$6="OpenOffice",INDEX(Daten!$A$1:$U$1000,5+($AV25-29)*6+$Z$4-1,6),INDEX(Daten!$A$1:$U$1000,1+($AV25-29)*1+$Z$4-1,12))</f>
        <v>#VALUE!</v>
      </c>
      <c r="AL25" s="121" t="e">
        <f t="shared" si="8"/>
        <v>#VALUE!</v>
      </c>
      <c r="AM25" s="122" t="e">
        <f t="shared" si="9"/>
        <v>#VALUE!</v>
      </c>
      <c r="AN25" s="123" t="e">
        <f t="shared" si="10"/>
        <v>#VALUE!</v>
      </c>
      <c r="AO25" s="124">
        <f t="shared" si="11"/>
      </c>
      <c r="AP25" s="125" t="e">
        <f>IF(AF25&gt;0,IF(AR25&gt;='OFM-Transfer'!$P$4,AK25-AO25,""),"")</f>
        <v>#VALUE!</v>
      </c>
      <c r="AQ25" s="104" t="e">
        <f>IF(AF25&gt;0,235*SQRT(SQRT(((AH25+$U$4+(35-Spieltag)*INDEX(Optionen,Offset_TP,1+IF(AF25&lt;27,0,1)+VLOOKUP($AE25,Mannschaftsteil,2,FALSE)))/(AG25+'OFM-Transfer'!$Q$4+(35-Spieltag)*(IF(OR($O$4="Liga&amp;Friendly",$O$4="nur Liga"),INDEX(Optionen,1,1+VLOOKUP($AE25,Mannschaftsteil,2,FALSE)),0)+IF(OR($O$4="Liga&amp;Friendly",$O$4="nur Friendly"),INDEX(Optionen,2,1+VLOOKUP($AE25,Mannschaftsteil,2,FALSE)),0)))-0.4)))/200*(AG25+'OFM-Transfer'!$Q$4+(35-Spieltag)*(IF(OR($O$4="Liga&amp;Friendly",$O$4="nur Liga"),INDEX(Optionen,1,1+VLOOKUP($AE25,Mannschaftsteil,2,FALSE)),0)+IF(OR($O$4="Liga&amp;Friendly",$O$4="nur Friendly"),INDEX(Optionen,2,1+VLOOKUP($AE25,Mannschaftsteil,2,FALSE)),0))),"")</f>
        <v>#VALUE!</v>
      </c>
      <c r="AR25" s="105">
        <f t="shared" si="12"/>
      </c>
      <c r="AS25" s="130" t="e">
        <f>IF(AND(AF25&gt;0,AR25&gt;=$P$4),INDEX(Transferwert!$A:$XFD,INT(AR25)+1,VLOOKUP(AE25,Offsets,2,FALSE)+AF25+1-17)-AK25-(34-$Y$4)*VLOOKUP(FLOOR($AJ25,1),Gehaltsstruktur,2),"")</f>
        <v>#VALUE!</v>
      </c>
      <c r="AT25" s="107" t="e">
        <f t="shared" si="0"/>
        <v>#VALUE!</v>
      </c>
      <c r="AU25" s="107" t="e">
        <f t="shared" si="1"/>
        <v>#VALUE!</v>
      </c>
      <c r="AV25" s="131">
        <f ca="1">IF($X$43=INFO("Version"),45,"")</f>
      </c>
      <c r="AW25" s="132" t="e">
        <f>IF(AND(AF25&gt;0,AS25&gt;0,AR25&gt;='OFM-Transfer'!$P$4),ROUND(MIN(AS25/3,MAX(0.1*AK25,1.2*(AS25-MAX(AS26:AS33))))+AK25,0-3),"")</f>
        <v>#VALUE!</v>
      </c>
      <c r="AY25" s="110" t="e">
        <f t="shared" si="17"/>
        <v>#NUM!</v>
      </c>
    </row>
    <row r="26" spans="2:51" ht="12.75">
      <c r="B26" s="117">
        <f t="shared" si="20"/>
      </c>
      <c r="C26" s="118">
        <f t="shared" si="20"/>
      </c>
      <c r="D26" s="94">
        <f t="shared" si="20"/>
      </c>
      <c r="E26" s="112">
        <f t="shared" si="20"/>
      </c>
      <c r="F26" s="112">
        <f t="shared" si="20"/>
      </c>
      <c r="G26" s="104">
        <f t="shared" si="20"/>
      </c>
      <c r="H26" s="119">
        <f t="shared" si="20"/>
      </c>
      <c r="I26" s="120">
        <f t="shared" si="20"/>
      </c>
      <c r="J26" s="121">
        <f t="shared" si="20"/>
      </c>
      <c r="K26" s="122">
        <f t="shared" si="20"/>
      </c>
      <c r="L26" s="123">
        <f t="shared" si="13"/>
      </c>
      <c r="M26" s="124">
        <f t="shared" si="20"/>
      </c>
      <c r="N26" s="125">
        <f t="shared" si="20"/>
      </c>
      <c r="O26" s="104">
        <f t="shared" si="20"/>
      </c>
      <c r="P26" s="105">
        <f t="shared" si="20"/>
      </c>
      <c r="Q26" s="126">
        <f t="shared" si="19"/>
      </c>
      <c r="R26" s="107"/>
      <c r="S26" s="107"/>
      <c r="T26" s="131">
        <f t="shared" si="14"/>
      </c>
      <c r="U26" s="122">
        <f t="shared" si="18"/>
      </c>
      <c r="V26" s="347">
        <f t="shared" si="15"/>
      </c>
      <c r="X26" s="109" t="e">
        <f ca="1">IF(AND(X$44=INFO("GesamtSpeich"),AF26&gt;0),INDEX(Transferwert!$A:$XFD,FLOOR(AJ26,1)+1,VLOOKUP(AE26,Offsets,2,FALSE)+AF26-17)+(AJ26-FLOOR(AJ26,1))*(INDEX(Transferwert!$A:$XFD,1+FLOOR(AJ26,1)+1,VLOOKUP(AE26,Offsets,2,FALSE)+AF26-17)-INDEX(Transferwert!$A:$XFD,FLOOR(AJ26,1)+1,VLOOKUP(AE26,Offsets,2,FALSE)+AF26-17)),"")</f>
        <v>#VALUE!</v>
      </c>
      <c r="Y26" s="109" t="e">
        <f ca="1">IF(AND(AF26&gt;0,NOW()-FLOOR(TODAY(),1)-$Z$41&gt;0,NOW()-FLOOR(TODAY(),1)-$Z$41&lt;0.1),INDEX(Transferwert!$A:$XFD,FLOOR(AJ26,1)+1,VLOOKUP($AE26,Offsets,2,FALSE)+AF26+1-17)+(AJ26-FLOOR(AJ26,1))*(INDEX(Transferwert!$A:$XFD,1+FLOOR(AJ26,1)+1,VLOOKUP($AE26,Offsets,2,FALSE)+AF26+1-17)-INDEX(Transferwert!$A:$XFD,FLOOR(AJ26,1)+1,VLOOKUP($AE26,Offsets,2,FALSE)+AF26+1-17)),"")</f>
        <v>#VALUE!</v>
      </c>
      <c r="Z26" s="17" t="e">
        <f t="shared" si="3"/>
        <v>#VALUE!</v>
      </c>
      <c r="AA26" s="110">
        <f t="shared" si="4"/>
      </c>
      <c r="AB26" s="17" t="e">
        <f t="shared" si="16"/>
        <v>#NUM!</v>
      </c>
      <c r="AC26" s="110">
        <f t="shared" si="5"/>
      </c>
      <c r="AD26" s="128" t="e">
        <f>INDEX(Daten!$A$1:$U$1000,4+($AV26-29)*6+$Z$4-1,2)</f>
        <v>#VALUE!</v>
      </c>
      <c r="AE26" s="118" t="e">
        <f>IF($AA$6="OpenOffice",TRIM(INDEX(Daten!$A$1:$U$1000,5+($AV26-29)*6+$Z$4-1,2)),TRIM(INDEX(Daten!$A$1:$U$1000,1+($AV26-29)*1+$Z$4-1,8)))</f>
        <v>#VALUE!</v>
      </c>
      <c r="AF26" s="94" t="e">
        <f>IF($AA$6="OpenOffice",INDEX(Daten!$A$1:$U$1000,5+($AV26-29)*6+$Z$4-1,3),INDEX(Daten!$A$1:$U$1000,1+($AV26-29)*1+$Z$4-1,9))</f>
        <v>#VALUE!</v>
      </c>
      <c r="AG26" s="112" t="e">
        <f>IF($AA$6="OpenOffice",SUBSTITUTE(SUBSTITUTE(LEFT(INDEX(Daten!$A$1:$U$1000,5+($AV26-29)*6+$Z$4-1,5),6),".",""),"/",""),SUBSTITUTE(SUBSTITUTE(LEFT(INDEX(Daten!$A$1:$U$1000,1+($AV26-29)*1+$Z$4-1,11),6),".",""),"/",""))</f>
        <v>#VALUE!</v>
      </c>
      <c r="AH26" s="112" t="e">
        <f>IF($AA$6="OpenOffice",SUBSTITUTE(SUBSTITUTE(RIGHT(INDEX(Daten!$A$1:$U$1000,5+($AV26-29)*6+$Z$4-1,5),6),".",""),"/",""),SUBSTITUTE(SUBSTITUTE(RIGHT(INDEX(Daten!$A$1:$U$1000,1+($AV26-29)*1+$Z$4-1,11),6),".",""),"/",""))</f>
        <v>#VALUE!</v>
      </c>
      <c r="AI26" s="104" t="e">
        <f t="shared" si="6"/>
        <v>#VALUE!</v>
      </c>
      <c r="AJ26" s="119" t="e">
        <f t="shared" si="7"/>
        <v>#VALUE!</v>
      </c>
      <c r="AK26" s="129" t="e">
        <f>IF($AA$6="OpenOffice",INDEX(Daten!$A$1:$U$1000,5+($AV26-29)*6+$Z$4-1,6),INDEX(Daten!$A$1:$U$1000,1+($AV26-29)*1+$Z$4-1,12))</f>
        <v>#VALUE!</v>
      </c>
      <c r="AL26" s="121" t="e">
        <f t="shared" si="8"/>
        <v>#VALUE!</v>
      </c>
      <c r="AM26" s="122" t="e">
        <f t="shared" si="9"/>
        <v>#VALUE!</v>
      </c>
      <c r="AN26" s="123" t="e">
        <f t="shared" si="10"/>
        <v>#VALUE!</v>
      </c>
      <c r="AO26" s="124">
        <f t="shared" si="11"/>
      </c>
      <c r="AP26" s="125" t="e">
        <f>IF(AF26&gt;0,IF(AR26&gt;='OFM-Transfer'!$P$4,AK26-AO26,""),"")</f>
        <v>#VALUE!</v>
      </c>
      <c r="AQ26" s="104" t="e">
        <f>IF(AF26&gt;0,235*SQRT(SQRT(((AH26+$U$4+(35-Spieltag)*INDEX(Optionen,Offset_TP,1+IF(AF26&lt;27,0,1)+VLOOKUP($AE26,Mannschaftsteil,2,FALSE)))/(AG26+'OFM-Transfer'!$Q$4+(35-Spieltag)*(IF(OR($O$4="Liga&amp;Friendly",$O$4="nur Liga"),INDEX(Optionen,1,1+VLOOKUP($AE26,Mannschaftsteil,2,FALSE)),0)+IF(OR($O$4="Liga&amp;Friendly",$O$4="nur Friendly"),INDEX(Optionen,2,1+VLOOKUP($AE26,Mannschaftsteil,2,FALSE)),0)))-0.4)))/200*(AG26+'OFM-Transfer'!$Q$4+(35-Spieltag)*(IF(OR($O$4="Liga&amp;Friendly",$O$4="nur Liga"),INDEX(Optionen,1,1+VLOOKUP($AE26,Mannschaftsteil,2,FALSE)),0)+IF(OR($O$4="Liga&amp;Friendly",$O$4="nur Friendly"),INDEX(Optionen,2,1+VLOOKUP($AE26,Mannschaftsteil,2,FALSE)),0))),"")</f>
        <v>#VALUE!</v>
      </c>
      <c r="AR26" s="105">
        <f t="shared" si="12"/>
      </c>
      <c r="AS26" s="130" t="e">
        <f>IF(AND(AF26&gt;0,AR26&gt;=$P$4),INDEX(Transferwert!$A:$XFD,INT(AR26)+1,VLOOKUP(AE26,Offsets,2,FALSE)+AF26+1-17)-AK26-(34-$Y$4)*VLOOKUP(FLOOR($AJ26,1),Gehaltsstruktur,2),"")</f>
        <v>#VALUE!</v>
      </c>
      <c r="AT26" s="107" t="e">
        <f t="shared" si="0"/>
        <v>#VALUE!</v>
      </c>
      <c r="AU26" s="107" t="e">
        <f t="shared" si="1"/>
        <v>#VALUE!</v>
      </c>
      <c r="AV26" s="131">
        <f ca="1">IF($X$43=INFO("Version"),46,"")</f>
      </c>
      <c r="AW26" s="132" t="e">
        <f>IF(AND(AF26&gt;0,AS26&gt;0,AR26&gt;='OFM-Transfer'!$P$4),ROUND(MIN(AS26/3,MAX(0.1*AK26,1.2*(AS26-MAX(AS27:AS34))))+AK26,0-3),"")</f>
        <v>#VALUE!</v>
      </c>
      <c r="AY26" s="110" t="e">
        <f t="shared" si="17"/>
        <v>#NUM!</v>
      </c>
    </row>
    <row r="27" spans="2:51" ht="12.75">
      <c r="B27" s="117">
        <f t="shared" si="20"/>
      </c>
      <c r="C27" s="118">
        <f t="shared" si="20"/>
      </c>
      <c r="D27" s="94">
        <f t="shared" si="20"/>
      </c>
      <c r="E27" s="112">
        <f t="shared" si="20"/>
      </c>
      <c r="F27" s="112">
        <f t="shared" si="20"/>
      </c>
      <c r="G27" s="104">
        <f t="shared" si="20"/>
      </c>
      <c r="H27" s="119">
        <f t="shared" si="20"/>
      </c>
      <c r="I27" s="120">
        <f t="shared" si="20"/>
      </c>
      <c r="J27" s="121">
        <f t="shared" si="20"/>
      </c>
      <c r="K27" s="122">
        <f t="shared" si="20"/>
      </c>
      <c r="L27" s="123">
        <f t="shared" si="13"/>
      </c>
      <c r="M27" s="124">
        <f t="shared" si="20"/>
      </c>
      <c r="N27" s="125">
        <f t="shared" si="20"/>
      </c>
      <c r="O27" s="104">
        <f t="shared" si="20"/>
      </c>
      <c r="P27" s="105">
        <f t="shared" si="20"/>
      </c>
      <c r="Q27" s="126">
        <f t="shared" si="19"/>
      </c>
      <c r="R27" s="107"/>
      <c r="S27" s="107"/>
      <c r="T27" s="131">
        <f t="shared" si="14"/>
      </c>
      <c r="U27" s="122">
        <f t="shared" si="18"/>
      </c>
      <c r="V27" s="347">
        <f t="shared" si="15"/>
      </c>
      <c r="X27" s="109" t="e">
        <f ca="1">IF(AND(X$44=INFO("GesamtSpeich"),AF27&gt;0),INDEX(Transferwert!$A:$XFD,FLOOR(AJ27,1)+1,VLOOKUP(AE27,Offsets,2,FALSE)+AF27-17)+(AJ27-FLOOR(AJ27,1))*(INDEX(Transferwert!$A:$XFD,1+FLOOR(AJ27,1)+1,VLOOKUP(AE27,Offsets,2,FALSE)+AF27-17)-INDEX(Transferwert!$A:$XFD,FLOOR(AJ27,1)+1,VLOOKUP(AE27,Offsets,2,FALSE)+AF27-17)),"")</f>
        <v>#VALUE!</v>
      </c>
      <c r="Y27" s="109" t="e">
        <f ca="1">IF(AND(AF27&gt;0,NOW()-FLOOR(TODAY(),1)-$Z$41&gt;0,NOW()-FLOOR(TODAY(),1)-$Z$41&lt;0.1),INDEX(Transferwert!$A:$XFD,FLOOR(AJ27,1)+1,VLOOKUP($AE27,Offsets,2,FALSE)+AF27+1-17)+(AJ27-FLOOR(AJ27,1))*(INDEX(Transferwert!$A:$XFD,1+FLOOR(AJ27,1)+1,VLOOKUP($AE27,Offsets,2,FALSE)+AF27+1-17)-INDEX(Transferwert!$A:$XFD,FLOOR(AJ27,1)+1,VLOOKUP($AE27,Offsets,2,FALSE)+AF27+1-17)),"")</f>
        <v>#VALUE!</v>
      </c>
      <c r="Z27" s="17" t="e">
        <f t="shared" si="3"/>
        <v>#VALUE!</v>
      </c>
      <c r="AA27" s="110">
        <f t="shared" si="4"/>
      </c>
      <c r="AB27" s="17" t="e">
        <f t="shared" si="16"/>
        <v>#NUM!</v>
      </c>
      <c r="AC27" s="110">
        <f t="shared" si="5"/>
      </c>
      <c r="AD27" s="128" t="e">
        <f>INDEX(Daten!$A$1:$U$1000,4+($AV27-29)*6+$Z$4-1,2)</f>
        <v>#VALUE!</v>
      </c>
      <c r="AE27" s="118" t="e">
        <f>IF($AA$6="OpenOffice",TRIM(INDEX(Daten!$A$1:$U$1000,5+($AV27-29)*6+$Z$4-1,2)),TRIM(INDEX(Daten!$A$1:$U$1000,1+($AV27-29)*1+$Z$4-1,8)))</f>
        <v>#VALUE!</v>
      </c>
      <c r="AF27" s="94" t="e">
        <f>IF($AA$6="OpenOffice",INDEX(Daten!$A$1:$U$1000,5+($AV27-29)*6+$Z$4-1,3),INDEX(Daten!$A$1:$U$1000,1+($AV27-29)*1+$Z$4-1,9))</f>
        <v>#VALUE!</v>
      </c>
      <c r="AG27" s="112" t="e">
        <f>IF($AA$6="OpenOffice",SUBSTITUTE(SUBSTITUTE(LEFT(INDEX(Daten!$A$1:$U$1000,5+($AV27-29)*6+$Z$4-1,5),6),".",""),"/",""),SUBSTITUTE(SUBSTITUTE(LEFT(INDEX(Daten!$A$1:$U$1000,1+($AV27-29)*1+$Z$4-1,11),6),".",""),"/",""))</f>
        <v>#VALUE!</v>
      </c>
      <c r="AH27" s="112" t="e">
        <f>IF($AA$6="OpenOffice",SUBSTITUTE(SUBSTITUTE(RIGHT(INDEX(Daten!$A$1:$U$1000,5+($AV27-29)*6+$Z$4-1,5),6),".",""),"/",""),SUBSTITUTE(SUBSTITUTE(RIGHT(INDEX(Daten!$A$1:$U$1000,1+($AV27-29)*1+$Z$4-1,11),6),".",""),"/",""))</f>
        <v>#VALUE!</v>
      </c>
      <c r="AI27" s="104" t="e">
        <f t="shared" si="6"/>
        <v>#VALUE!</v>
      </c>
      <c r="AJ27" s="119" t="e">
        <f t="shared" si="7"/>
        <v>#VALUE!</v>
      </c>
      <c r="AK27" s="129" t="e">
        <f>IF($AA$6="OpenOffice",INDEX(Daten!$A$1:$U$1000,5+($AV27-29)*6+$Z$4-1,6),INDEX(Daten!$A$1:$U$1000,1+($AV27-29)*1+$Z$4-1,12))</f>
        <v>#VALUE!</v>
      </c>
      <c r="AL27" s="121" t="e">
        <f t="shared" si="8"/>
        <v>#VALUE!</v>
      </c>
      <c r="AM27" s="122" t="e">
        <f t="shared" si="9"/>
        <v>#VALUE!</v>
      </c>
      <c r="AN27" s="123" t="e">
        <f t="shared" si="10"/>
        <v>#VALUE!</v>
      </c>
      <c r="AO27" s="124">
        <f t="shared" si="11"/>
      </c>
      <c r="AP27" s="125" t="e">
        <f>IF(AF27&gt;0,IF(AR27&gt;='OFM-Transfer'!$P$4,AK27-AO27,""),"")</f>
        <v>#VALUE!</v>
      </c>
      <c r="AQ27" s="104" t="e">
        <f>IF(AF27&gt;0,235*SQRT(SQRT(((AH27+$U$4+(35-Spieltag)*INDEX(Optionen,Offset_TP,1+IF(AF27&lt;27,0,1)+VLOOKUP($AE27,Mannschaftsteil,2,FALSE)))/(AG27+'OFM-Transfer'!$Q$4+(35-Spieltag)*(IF(OR($O$4="Liga&amp;Friendly",$O$4="nur Liga"),INDEX(Optionen,1,1+VLOOKUP($AE27,Mannschaftsteil,2,FALSE)),0)+IF(OR($O$4="Liga&amp;Friendly",$O$4="nur Friendly"),INDEX(Optionen,2,1+VLOOKUP($AE27,Mannschaftsteil,2,FALSE)),0)))-0.4)))/200*(AG27+'OFM-Transfer'!$Q$4+(35-Spieltag)*(IF(OR($O$4="Liga&amp;Friendly",$O$4="nur Liga"),INDEX(Optionen,1,1+VLOOKUP($AE27,Mannschaftsteil,2,FALSE)),0)+IF(OR($O$4="Liga&amp;Friendly",$O$4="nur Friendly"),INDEX(Optionen,2,1+VLOOKUP($AE27,Mannschaftsteil,2,FALSE)),0))),"")</f>
        <v>#VALUE!</v>
      </c>
      <c r="AR27" s="105">
        <f t="shared" si="12"/>
      </c>
      <c r="AS27" s="130" t="e">
        <f>IF(AND(AF27&gt;0,AR27&gt;=$P$4),INDEX(Transferwert!$A:$XFD,INT(AR27)+1,VLOOKUP(AE27,Offsets,2,FALSE)+AF27+1-17)-AK27-(34-$Y$4)*VLOOKUP(FLOOR($AJ27,1),Gehaltsstruktur,2),"")</f>
        <v>#VALUE!</v>
      </c>
      <c r="AT27" s="107" t="e">
        <f t="shared" si="0"/>
        <v>#VALUE!</v>
      </c>
      <c r="AU27" s="107" t="e">
        <f t="shared" si="1"/>
        <v>#VALUE!</v>
      </c>
      <c r="AV27" s="131">
        <f ca="1">IF($X$43=INFO("Version"),47,"")</f>
      </c>
      <c r="AW27" s="132" t="e">
        <f>IF(AND(AF27&gt;0,AS27&gt;0,AR27&gt;='OFM-Transfer'!$P$4),ROUND(MIN(AS27/3,MAX(0.1*AK27,1.2*(AS27-MAX(AS28:AS35))))+AK27,0-3),"")</f>
        <v>#VALUE!</v>
      </c>
      <c r="AY27" s="110" t="e">
        <f t="shared" si="17"/>
        <v>#NUM!</v>
      </c>
    </row>
    <row r="28" spans="2:51" ht="12.75">
      <c r="B28" s="117">
        <f t="shared" si="20"/>
      </c>
      <c r="C28" s="118">
        <f t="shared" si="20"/>
      </c>
      <c r="D28" s="94">
        <f t="shared" si="20"/>
      </c>
      <c r="E28" s="112">
        <f t="shared" si="20"/>
      </c>
      <c r="F28" s="112">
        <f t="shared" si="20"/>
      </c>
      <c r="G28" s="104">
        <f t="shared" si="20"/>
      </c>
      <c r="H28" s="119">
        <f t="shared" si="20"/>
      </c>
      <c r="I28" s="120">
        <f t="shared" si="20"/>
      </c>
      <c r="J28" s="121">
        <f t="shared" si="20"/>
      </c>
      <c r="K28" s="122">
        <f t="shared" si="20"/>
      </c>
      <c r="L28" s="123">
        <f t="shared" si="13"/>
      </c>
      <c r="M28" s="124">
        <f t="shared" si="20"/>
      </c>
      <c r="N28" s="125">
        <f t="shared" si="20"/>
      </c>
      <c r="O28" s="104">
        <f t="shared" si="20"/>
      </c>
      <c r="P28" s="105">
        <f t="shared" si="20"/>
      </c>
      <c r="Q28" s="126">
        <f t="shared" si="19"/>
      </c>
      <c r="R28" s="107"/>
      <c r="S28" s="107"/>
      <c r="T28" s="131">
        <f t="shared" si="14"/>
      </c>
      <c r="U28" s="122">
        <f t="shared" si="18"/>
      </c>
      <c r="V28" s="347">
        <f t="shared" si="15"/>
      </c>
      <c r="X28" s="109" t="e">
        <f ca="1">IF(AND(X$44=INFO("GesamtSpeich"),AF28&gt;0),INDEX(Transferwert!$A:$XFD,FLOOR(AJ28,1)+1,VLOOKUP(AE28,Offsets,2,FALSE)+AF28-17)+(AJ28-FLOOR(AJ28,1))*(INDEX(Transferwert!$A:$XFD,1+FLOOR(AJ28,1)+1,VLOOKUP(AE28,Offsets,2,FALSE)+AF28-17)-INDEX(Transferwert!$A:$XFD,FLOOR(AJ28,1)+1,VLOOKUP(AE28,Offsets,2,FALSE)+AF28-17)),"")</f>
        <v>#VALUE!</v>
      </c>
      <c r="Y28" s="109" t="e">
        <f ca="1">IF(AND(AF28&gt;0,NOW()-FLOOR(TODAY(),1)-$Z$41&gt;0,NOW()-FLOOR(TODAY(),1)-$Z$41&lt;0.1),INDEX(Transferwert!$A:$XFD,FLOOR(AJ28,1)+1,VLOOKUP($AE28,Offsets,2,FALSE)+AF28+1-17)+(AJ28-FLOOR(AJ28,1))*(INDEX(Transferwert!$A:$XFD,1+FLOOR(AJ28,1)+1,VLOOKUP($AE28,Offsets,2,FALSE)+AF28+1-17)-INDEX(Transferwert!$A:$XFD,FLOOR(AJ28,1)+1,VLOOKUP($AE28,Offsets,2,FALSE)+AF28+1-17)),"")</f>
        <v>#VALUE!</v>
      </c>
      <c r="Z28" s="17" t="e">
        <f t="shared" si="3"/>
        <v>#VALUE!</v>
      </c>
      <c r="AA28" s="110">
        <f t="shared" si="4"/>
      </c>
      <c r="AB28" s="17" t="e">
        <f t="shared" si="16"/>
        <v>#NUM!</v>
      </c>
      <c r="AC28" s="110">
        <f t="shared" si="5"/>
      </c>
      <c r="AD28" s="128" t="e">
        <f>INDEX(Daten!$A$1:$U$1000,4+($AV28-29)*6+$Z$4-1,2)</f>
        <v>#VALUE!</v>
      </c>
      <c r="AE28" s="118" t="e">
        <f>IF($AA$6="OpenOffice",TRIM(INDEX(Daten!$A$1:$U$1000,5+($AV28-29)*6+$Z$4-1,2)),TRIM(INDEX(Daten!$A$1:$U$1000,1+($AV28-29)*1+$Z$4-1,8)))</f>
        <v>#VALUE!</v>
      </c>
      <c r="AF28" s="94" t="e">
        <f>IF($AA$6="OpenOffice",INDEX(Daten!$A$1:$U$1000,5+($AV28-29)*6+$Z$4-1,3),INDEX(Daten!$A$1:$U$1000,1+($AV28-29)*1+$Z$4-1,9))</f>
        <v>#VALUE!</v>
      </c>
      <c r="AG28" s="112" t="e">
        <f>IF($AA$6="OpenOffice",SUBSTITUTE(SUBSTITUTE(LEFT(INDEX(Daten!$A$1:$U$1000,5+($AV28-29)*6+$Z$4-1,5),6),".",""),"/",""),SUBSTITUTE(SUBSTITUTE(LEFT(INDEX(Daten!$A$1:$U$1000,1+($AV28-29)*1+$Z$4-1,11),6),".",""),"/",""))</f>
        <v>#VALUE!</v>
      </c>
      <c r="AH28" s="112" t="e">
        <f>IF($AA$6="OpenOffice",SUBSTITUTE(SUBSTITUTE(RIGHT(INDEX(Daten!$A$1:$U$1000,5+($AV28-29)*6+$Z$4-1,5),6),".",""),"/",""),SUBSTITUTE(SUBSTITUTE(RIGHT(INDEX(Daten!$A$1:$U$1000,1+($AV28-29)*1+$Z$4-1,11),6),".",""),"/",""))</f>
        <v>#VALUE!</v>
      </c>
      <c r="AI28" s="104" t="e">
        <f t="shared" si="6"/>
        <v>#VALUE!</v>
      </c>
      <c r="AJ28" s="119" t="e">
        <f t="shared" si="7"/>
        <v>#VALUE!</v>
      </c>
      <c r="AK28" s="129" t="e">
        <f>IF($AA$6="OpenOffice",INDEX(Daten!$A$1:$U$1000,5+($AV28-29)*6+$Z$4-1,6),INDEX(Daten!$A$1:$U$1000,1+($AV28-29)*1+$Z$4-1,12))</f>
        <v>#VALUE!</v>
      </c>
      <c r="AL28" s="121" t="e">
        <f t="shared" si="8"/>
        <v>#VALUE!</v>
      </c>
      <c r="AM28" s="122" t="e">
        <f t="shared" si="9"/>
        <v>#VALUE!</v>
      </c>
      <c r="AN28" s="123" t="e">
        <f t="shared" si="10"/>
        <v>#VALUE!</v>
      </c>
      <c r="AO28" s="124">
        <f t="shared" si="11"/>
      </c>
      <c r="AP28" s="125" t="e">
        <f>IF(AF28&gt;0,IF(AR28&gt;='OFM-Transfer'!$P$4,AK28-AO28,""),"")</f>
        <v>#VALUE!</v>
      </c>
      <c r="AQ28" s="104" t="e">
        <f>IF(AF28&gt;0,235*SQRT(SQRT(((AH28+$U$4+(35-Spieltag)*INDEX(Optionen,Offset_TP,1+IF(AF28&lt;27,0,1)+VLOOKUP($AE28,Mannschaftsteil,2,FALSE)))/(AG28+'OFM-Transfer'!$Q$4+(35-Spieltag)*(IF(OR($O$4="Liga&amp;Friendly",$O$4="nur Liga"),INDEX(Optionen,1,1+VLOOKUP($AE28,Mannschaftsteil,2,FALSE)),0)+IF(OR($O$4="Liga&amp;Friendly",$O$4="nur Friendly"),INDEX(Optionen,2,1+VLOOKUP($AE28,Mannschaftsteil,2,FALSE)),0)))-0.4)))/200*(AG28+'OFM-Transfer'!$Q$4+(35-Spieltag)*(IF(OR($O$4="Liga&amp;Friendly",$O$4="nur Liga"),INDEX(Optionen,1,1+VLOOKUP($AE28,Mannschaftsteil,2,FALSE)),0)+IF(OR($O$4="Liga&amp;Friendly",$O$4="nur Friendly"),INDEX(Optionen,2,1+VLOOKUP($AE28,Mannschaftsteil,2,FALSE)),0))),"")</f>
        <v>#VALUE!</v>
      </c>
      <c r="AR28" s="105">
        <f t="shared" si="12"/>
      </c>
      <c r="AS28" s="130" t="e">
        <f>IF(AND(AF28&gt;0,AR28&gt;=$P$4),INDEX(Transferwert!$A:$XFD,INT(AR28)+1,VLOOKUP(AE28,Offsets,2,FALSE)+AF28+1-17)-AK28-(34-$Y$4)*VLOOKUP(FLOOR($AJ28,1),Gehaltsstruktur,2),"")</f>
        <v>#VALUE!</v>
      </c>
      <c r="AT28" s="107" t="e">
        <f t="shared" si="0"/>
        <v>#VALUE!</v>
      </c>
      <c r="AU28" s="107" t="e">
        <f t="shared" si="1"/>
        <v>#VALUE!</v>
      </c>
      <c r="AV28" s="131">
        <f ca="1">IF($X$43=INFO("Version"),48,"")</f>
      </c>
      <c r="AW28" s="132" t="e">
        <f>IF(AND(AF28&gt;0,AS28&gt;0,AR28&gt;='OFM-Transfer'!$P$4),ROUND(MIN(AS28/3,MAX(0.1*AK28,1.2*(AS28-MAX(AS29:AS36))))+AK28,0-3),"")</f>
        <v>#VALUE!</v>
      </c>
      <c r="AY28" s="110" t="e">
        <f t="shared" si="17"/>
        <v>#NUM!</v>
      </c>
    </row>
    <row r="29" spans="2:51" ht="12.75">
      <c r="B29" s="117">
        <f t="shared" si="20"/>
      </c>
      <c r="C29" s="118">
        <f t="shared" si="20"/>
      </c>
      <c r="D29" s="94">
        <f t="shared" si="20"/>
      </c>
      <c r="E29" s="112">
        <f t="shared" si="20"/>
      </c>
      <c r="F29" s="112">
        <f t="shared" si="20"/>
      </c>
      <c r="G29" s="104">
        <f t="shared" si="20"/>
      </c>
      <c r="H29" s="119">
        <f t="shared" si="20"/>
      </c>
      <c r="I29" s="120">
        <f t="shared" si="20"/>
      </c>
      <c r="J29" s="121">
        <f t="shared" si="20"/>
      </c>
      <c r="K29" s="122">
        <f t="shared" si="20"/>
      </c>
      <c r="L29" s="123">
        <f t="shared" si="13"/>
      </c>
      <c r="M29" s="124">
        <f t="shared" si="20"/>
      </c>
      <c r="N29" s="125">
        <f t="shared" si="20"/>
      </c>
      <c r="O29" s="104">
        <f t="shared" si="20"/>
      </c>
      <c r="P29" s="105">
        <f t="shared" si="20"/>
      </c>
      <c r="Q29" s="126">
        <f t="shared" si="19"/>
      </c>
      <c r="R29" s="107"/>
      <c r="S29" s="107"/>
      <c r="T29" s="131">
        <f t="shared" si="14"/>
      </c>
      <c r="U29" s="122">
        <f t="shared" si="18"/>
      </c>
      <c r="V29" s="347">
        <f t="shared" si="15"/>
      </c>
      <c r="X29" s="109" t="e">
        <f ca="1">IF(AND(X$44=INFO("GesamtSpeich"),AF29&gt;0),INDEX(Transferwert!$A:$XFD,FLOOR(AJ29,1)+1,VLOOKUP(AE29,Offsets,2,FALSE)+AF29-17)+(AJ29-FLOOR(AJ29,1))*(INDEX(Transferwert!$A:$XFD,1+FLOOR(AJ29,1)+1,VLOOKUP(AE29,Offsets,2,FALSE)+AF29-17)-INDEX(Transferwert!$A:$XFD,FLOOR(AJ29,1)+1,VLOOKUP(AE29,Offsets,2,FALSE)+AF29-17)),"")</f>
        <v>#VALUE!</v>
      </c>
      <c r="Y29" s="109" t="e">
        <f ca="1">IF(AND(AF29&gt;0,NOW()-FLOOR(TODAY(),1)-$Z$41&gt;0,NOW()-FLOOR(TODAY(),1)-$Z$41&lt;0.1),INDEX(Transferwert!$A:$XFD,FLOOR(AJ29,1)+1,VLOOKUP($AE29,Offsets,2,FALSE)+AF29+1-17)+(AJ29-FLOOR(AJ29,1))*(INDEX(Transferwert!$A:$XFD,1+FLOOR(AJ29,1)+1,VLOOKUP($AE29,Offsets,2,FALSE)+AF29+1-17)-INDEX(Transferwert!$A:$XFD,FLOOR(AJ29,1)+1,VLOOKUP($AE29,Offsets,2,FALSE)+AF29+1-17)),"")</f>
        <v>#VALUE!</v>
      </c>
      <c r="Z29" s="17" t="e">
        <f t="shared" si="3"/>
        <v>#VALUE!</v>
      </c>
      <c r="AA29" s="110">
        <f t="shared" si="4"/>
      </c>
      <c r="AB29" s="17" t="e">
        <f t="shared" si="16"/>
        <v>#NUM!</v>
      </c>
      <c r="AC29" s="110">
        <f t="shared" si="5"/>
      </c>
      <c r="AD29" s="128" t="e">
        <f>INDEX(Daten!$A$1:$U$1000,4+($AV29-29)*6+$Z$4-1,2)</f>
        <v>#VALUE!</v>
      </c>
      <c r="AE29" s="118" t="e">
        <f>IF($AA$6="OpenOffice",TRIM(INDEX(Daten!$A$1:$U$1000,5+($AV29-29)*6+$Z$4-1,2)),TRIM(INDEX(Daten!$A$1:$U$1000,1+($AV29-29)*1+$Z$4-1,8)))</f>
        <v>#VALUE!</v>
      </c>
      <c r="AF29" s="94" t="e">
        <f>IF($AA$6="OpenOffice",INDEX(Daten!$A$1:$U$1000,5+($AV29-29)*6+$Z$4-1,3),INDEX(Daten!$A$1:$U$1000,1+($AV29-29)*1+$Z$4-1,9))</f>
        <v>#VALUE!</v>
      </c>
      <c r="AG29" s="112" t="e">
        <f>IF($AA$6="OpenOffice",SUBSTITUTE(SUBSTITUTE(LEFT(INDEX(Daten!$A$1:$U$1000,5+($AV29-29)*6+$Z$4-1,5),6),".",""),"/",""),SUBSTITUTE(SUBSTITUTE(LEFT(INDEX(Daten!$A$1:$U$1000,1+($AV29-29)*1+$Z$4-1,11),6),".",""),"/",""))</f>
        <v>#VALUE!</v>
      </c>
      <c r="AH29" s="112" t="e">
        <f>IF($AA$6="OpenOffice",SUBSTITUTE(SUBSTITUTE(RIGHT(INDEX(Daten!$A$1:$U$1000,5+($AV29-29)*6+$Z$4-1,5),6),".",""),"/",""),SUBSTITUTE(SUBSTITUTE(RIGHT(INDEX(Daten!$A$1:$U$1000,1+($AV29-29)*1+$Z$4-1,11),6),".",""),"/",""))</f>
        <v>#VALUE!</v>
      </c>
      <c r="AI29" s="104" t="e">
        <f t="shared" si="6"/>
        <v>#VALUE!</v>
      </c>
      <c r="AJ29" s="119" t="e">
        <f t="shared" si="7"/>
        <v>#VALUE!</v>
      </c>
      <c r="AK29" s="129" t="e">
        <f>IF($AA$6="OpenOffice",INDEX(Daten!$A$1:$U$1000,5+($AV29-29)*6+$Z$4-1,6),INDEX(Daten!$A$1:$U$1000,1+($AV29-29)*1+$Z$4-1,12))</f>
        <v>#VALUE!</v>
      </c>
      <c r="AL29" s="121" t="e">
        <f t="shared" si="8"/>
        <v>#VALUE!</v>
      </c>
      <c r="AM29" s="122" t="e">
        <f t="shared" si="9"/>
        <v>#VALUE!</v>
      </c>
      <c r="AN29" s="123" t="e">
        <f t="shared" si="10"/>
        <v>#VALUE!</v>
      </c>
      <c r="AO29" s="124">
        <f t="shared" si="11"/>
      </c>
      <c r="AP29" s="125" t="e">
        <f>IF(AF29&gt;0,IF(AR29&gt;='OFM-Transfer'!$P$4,AK29-AO29,""),"")</f>
        <v>#VALUE!</v>
      </c>
      <c r="AQ29" s="104" t="e">
        <f>IF(AF29&gt;0,235*SQRT(SQRT(((AH29+$U$4+(35-Spieltag)*INDEX(Optionen,Offset_TP,1+IF(AF29&lt;27,0,1)+VLOOKUP($AE29,Mannschaftsteil,2,FALSE)))/(AG29+'OFM-Transfer'!$Q$4+(35-Spieltag)*(IF(OR($O$4="Liga&amp;Friendly",$O$4="nur Liga"),INDEX(Optionen,1,1+VLOOKUP($AE29,Mannschaftsteil,2,FALSE)),0)+IF(OR($O$4="Liga&amp;Friendly",$O$4="nur Friendly"),INDEX(Optionen,2,1+VLOOKUP($AE29,Mannschaftsteil,2,FALSE)),0)))-0.4)))/200*(AG29+'OFM-Transfer'!$Q$4+(35-Spieltag)*(IF(OR($O$4="Liga&amp;Friendly",$O$4="nur Liga"),INDEX(Optionen,1,1+VLOOKUP($AE29,Mannschaftsteil,2,FALSE)),0)+IF(OR($O$4="Liga&amp;Friendly",$O$4="nur Friendly"),INDEX(Optionen,2,1+VLOOKUP($AE29,Mannschaftsteil,2,FALSE)),0))),"")</f>
        <v>#VALUE!</v>
      </c>
      <c r="AR29" s="105">
        <f t="shared" si="12"/>
      </c>
      <c r="AS29" s="130" t="e">
        <f>IF(AND(AF29&gt;0,AR29&gt;=$P$4),INDEX(Transferwert!$A:$XFD,INT(AR29)+1,VLOOKUP(AE29,Offsets,2,FALSE)+AF29+1-17)-AK29-(34-$Y$4)*VLOOKUP(FLOOR($AJ29,1),Gehaltsstruktur,2),"")</f>
        <v>#VALUE!</v>
      </c>
      <c r="AT29" s="107" t="e">
        <f t="shared" si="0"/>
        <v>#VALUE!</v>
      </c>
      <c r="AU29" s="107" t="e">
        <f t="shared" si="1"/>
        <v>#VALUE!</v>
      </c>
      <c r="AV29" s="131">
        <f ca="1">IF($X$43=INFO("Version"),49,"")</f>
      </c>
      <c r="AW29" s="132" t="e">
        <f>IF(AND(AF29&gt;0,AS29&gt;0,AR29&gt;='OFM-Transfer'!$P$4),ROUND(MIN(AS29/3,MAX(0.1*AK29,1.2*(AS29-MAX(AS30:AS37))))+AK29,0-3),"")</f>
        <v>#VALUE!</v>
      </c>
      <c r="AY29" s="110" t="e">
        <f t="shared" si="17"/>
        <v>#NUM!</v>
      </c>
    </row>
    <row r="30" spans="2:51" ht="12.75">
      <c r="B30" s="117">
        <f t="shared" si="20"/>
      </c>
      <c r="C30" s="118">
        <f t="shared" si="20"/>
      </c>
      <c r="D30" s="94">
        <f t="shared" si="20"/>
      </c>
      <c r="E30" s="112">
        <f t="shared" si="20"/>
      </c>
      <c r="F30" s="112">
        <f t="shared" si="20"/>
      </c>
      <c r="G30" s="104">
        <f t="shared" si="20"/>
      </c>
      <c r="H30" s="119">
        <f t="shared" si="20"/>
      </c>
      <c r="I30" s="120">
        <f t="shared" si="20"/>
      </c>
      <c r="J30" s="121">
        <f t="shared" si="20"/>
      </c>
      <c r="K30" s="122">
        <f t="shared" si="20"/>
      </c>
      <c r="L30" s="123">
        <f t="shared" si="13"/>
      </c>
      <c r="M30" s="124">
        <f t="shared" si="20"/>
      </c>
      <c r="N30" s="125">
        <f t="shared" si="20"/>
      </c>
      <c r="O30" s="104">
        <f t="shared" si="20"/>
      </c>
      <c r="P30" s="105">
        <f t="shared" si="20"/>
      </c>
      <c r="Q30" s="126">
        <f t="shared" si="19"/>
      </c>
      <c r="R30" s="107"/>
      <c r="S30" s="107"/>
      <c r="T30" s="131">
        <f t="shared" si="14"/>
      </c>
      <c r="U30" s="122">
        <f t="shared" si="18"/>
      </c>
      <c r="V30" s="347">
        <f t="shared" si="15"/>
      </c>
      <c r="X30" s="109" t="e">
        <f ca="1">IF(AND(X$44=INFO("GesamtSpeich"),AF30&gt;0),INDEX(Transferwert!$A:$XFD,FLOOR(AJ30,1)+1,VLOOKUP(AE30,Offsets,2,FALSE)+AF30-17)+(AJ30-FLOOR(AJ30,1))*(INDEX(Transferwert!$A:$XFD,1+FLOOR(AJ30,1)+1,VLOOKUP(AE30,Offsets,2,FALSE)+AF30-17)-INDEX(Transferwert!$A:$XFD,FLOOR(AJ30,1)+1,VLOOKUP(AE30,Offsets,2,FALSE)+AF30-17)),"")</f>
        <v>#VALUE!</v>
      </c>
      <c r="Y30" s="109" t="e">
        <f ca="1">IF(AND(AF30&gt;0,NOW()-FLOOR(TODAY(),1)-$Z$41&gt;0,NOW()-FLOOR(TODAY(),1)-$Z$41&lt;0.1),INDEX(Transferwert!$A:$XFD,FLOOR(AJ30,1)+1,VLOOKUP($AE30,Offsets,2,FALSE)+AF30+1-17)+(AJ30-FLOOR(AJ30,1))*(INDEX(Transferwert!$A:$XFD,1+FLOOR(AJ30,1)+1,VLOOKUP($AE30,Offsets,2,FALSE)+AF30+1-17)-INDEX(Transferwert!$A:$XFD,FLOOR(AJ30,1)+1,VLOOKUP($AE30,Offsets,2,FALSE)+AF30+1-17)),"")</f>
        <v>#VALUE!</v>
      </c>
      <c r="Z30" s="17" t="e">
        <f t="shared" si="3"/>
        <v>#VALUE!</v>
      </c>
      <c r="AA30" s="110">
        <f t="shared" si="4"/>
      </c>
      <c r="AB30" s="17" t="e">
        <f t="shared" si="16"/>
        <v>#NUM!</v>
      </c>
      <c r="AC30" s="110">
        <f t="shared" si="5"/>
      </c>
      <c r="AD30" s="128" t="e">
        <f>INDEX(Daten!$A$1:$U$1000,4+($AV30-29)*6+$Z$4-1,2)</f>
        <v>#VALUE!</v>
      </c>
      <c r="AE30" s="118" t="e">
        <f>IF($AA$6="OpenOffice",TRIM(INDEX(Daten!$A$1:$U$1000,5+($AV30-29)*6+$Z$4-1,2)),TRIM(INDEX(Daten!$A$1:$U$1000,1+($AV30-29)*1+$Z$4-1,8)))</f>
        <v>#VALUE!</v>
      </c>
      <c r="AF30" s="94" t="e">
        <f>IF($AA$6="OpenOffice",INDEX(Daten!$A$1:$U$1000,5+($AV30-29)*6+$Z$4-1,3),INDEX(Daten!$A$1:$U$1000,1+($AV30-29)*1+$Z$4-1,9))</f>
        <v>#VALUE!</v>
      </c>
      <c r="AG30" s="112" t="e">
        <f>IF($AA$6="OpenOffice",SUBSTITUTE(SUBSTITUTE(LEFT(INDEX(Daten!$A$1:$U$1000,5+($AV30-29)*6+$Z$4-1,5),6),".",""),"/",""),SUBSTITUTE(SUBSTITUTE(LEFT(INDEX(Daten!$A$1:$U$1000,1+($AV30-29)*1+$Z$4-1,11),6),".",""),"/",""))</f>
        <v>#VALUE!</v>
      </c>
      <c r="AH30" s="112" t="e">
        <f>IF($AA$6="OpenOffice",SUBSTITUTE(SUBSTITUTE(RIGHT(INDEX(Daten!$A$1:$U$1000,5+($AV30-29)*6+$Z$4-1,5),6),".",""),"/",""),SUBSTITUTE(SUBSTITUTE(RIGHT(INDEX(Daten!$A$1:$U$1000,1+($AV30-29)*1+$Z$4-1,11),6),".",""),"/",""))</f>
        <v>#VALUE!</v>
      </c>
      <c r="AI30" s="104" t="e">
        <f t="shared" si="6"/>
        <v>#VALUE!</v>
      </c>
      <c r="AJ30" s="119" t="e">
        <f t="shared" si="7"/>
        <v>#VALUE!</v>
      </c>
      <c r="AK30" s="129" t="e">
        <f>IF($AA$6="OpenOffice",INDEX(Daten!$A$1:$U$1000,5+($AV30-29)*6+$Z$4-1,6),INDEX(Daten!$A$1:$U$1000,1+($AV30-29)*1+$Z$4-1,12))</f>
        <v>#VALUE!</v>
      </c>
      <c r="AL30" s="121" t="e">
        <f t="shared" si="8"/>
        <v>#VALUE!</v>
      </c>
      <c r="AM30" s="122" t="e">
        <f t="shared" si="9"/>
        <v>#VALUE!</v>
      </c>
      <c r="AN30" s="123" t="e">
        <f t="shared" si="10"/>
        <v>#VALUE!</v>
      </c>
      <c r="AO30" s="124">
        <f t="shared" si="11"/>
      </c>
      <c r="AP30" s="125" t="e">
        <f>IF(AF30&gt;0,IF(AR30&gt;='OFM-Transfer'!$P$4,AK30-AO30,""),"")</f>
        <v>#VALUE!</v>
      </c>
      <c r="AQ30" s="104" t="e">
        <f>IF(AF30&gt;0,235*SQRT(SQRT(((AH30+$U$4+(35-Spieltag)*INDEX(Optionen,Offset_TP,1+IF(AF30&lt;27,0,1)+VLOOKUP($AE30,Mannschaftsteil,2,FALSE)))/(AG30+'OFM-Transfer'!$Q$4+(35-Spieltag)*(IF(OR($O$4="Liga&amp;Friendly",$O$4="nur Liga"),INDEX(Optionen,1,1+VLOOKUP($AE30,Mannschaftsteil,2,FALSE)),0)+IF(OR($O$4="Liga&amp;Friendly",$O$4="nur Friendly"),INDEX(Optionen,2,1+VLOOKUP($AE30,Mannschaftsteil,2,FALSE)),0)))-0.4)))/200*(AG30+'OFM-Transfer'!$Q$4+(35-Spieltag)*(IF(OR($O$4="Liga&amp;Friendly",$O$4="nur Liga"),INDEX(Optionen,1,1+VLOOKUP($AE30,Mannschaftsteil,2,FALSE)),0)+IF(OR($O$4="Liga&amp;Friendly",$O$4="nur Friendly"),INDEX(Optionen,2,1+VLOOKUP($AE30,Mannschaftsteil,2,FALSE)),0))),"")</f>
        <v>#VALUE!</v>
      </c>
      <c r="AR30" s="105">
        <f t="shared" si="12"/>
      </c>
      <c r="AS30" s="130" t="e">
        <f>IF(AND(AF30&gt;0,AR30&gt;=$P$4),INDEX(Transferwert!$A:$XFD,INT(AR30)+1,VLOOKUP(AE30,Offsets,2,FALSE)+AF30+1-17)-AK30-(34-$Y$4)*VLOOKUP(FLOOR($AJ30,1),Gehaltsstruktur,2),"")</f>
        <v>#VALUE!</v>
      </c>
      <c r="AT30" s="107" t="e">
        <f t="shared" si="0"/>
        <v>#VALUE!</v>
      </c>
      <c r="AU30" s="107" t="e">
        <f t="shared" si="1"/>
        <v>#VALUE!</v>
      </c>
      <c r="AV30" s="131">
        <f ca="1">IF($X$43=INFO("Version"),50,"")</f>
      </c>
      <c r="AW30" s="132" t="e">
        <f>IF(AND(AF30&gt;0,AS30&gt;0,AR30&gt;='OFM-Transfer'!$P$4),ROUND(MIN(AS30/3,MAX(0.1*AK30,1.2*(AS30-MAX(AS31:AS38))))+AK30,0-3),"")</f>
        <v>#VALUE!</v>
      </c>
      <c r="AY30" s="110" t="e">
        <f t="shared" si="17"/>
        <v>#NUM!</v>
      </c>
    </row>
    <row r="31" spans="2:51" ht="12.75">
      <c r="B31" s="117">
        <f t="shared" si="20"/>
      </c>
      <c r="C31" s="118">
        <f t="shared" si="20"/>
      </c>
      <c r="D31" s="94">
        <f t="shared" si="20"/>
      </c>
      <c r="E31" s="112">
        <f t="shared" si="20"/>
      </c>
      <c r="F31" s="112">
        <f t="shared" si="20"/>
      </c>
      <c r="G31" s="104">
        <f t="shared" si="20"/>
      </c>
      <c r="H31" s="119">
        <f t="shared" si="20"/>
      </c>
      <c r="I31" s="120">
        <f t="shared" si="20"/>
      </c>
      <c r="J31" s="121">
        <f t="shared" si="20"/>
      </c>
      <c r="K31" s="122">
        <f t="shared" si="20"/>
      </c>
      <c r="L31" s="123">
        <f t="shared" si="13"/>
      </c>
      <c r="M31" s="124">
        <f t="shared" si="20"/>
      </c>
      <c r="N31" s="125">
        <f t="shared" si="20"/>
      </c>
      <c r="O31" s="104">
        <f t="shared" si="20"/>
      </c>
      <c r="P31" s="105">
        <f t="shared" si="20"/>
      </c>
      <c r="Q31" s="126">
        <f t="shared" si="19"/>
      </c>
      <c r="R31" s="107"/>
      <c r="S31" s="107"/>
      <c r="T31" s="131">
        <f t="shared" si="14"/>
      </c>
      <c r="U31" s="122">
        <f t="shared" si="18"/>
      </c>
      <c r="V31" s="347">
        <f t="shared" si="15"/>
      </c>
      <c r="X31" s="109" t="e">
        <f ca="1">IF(AND(X$44=INFO("GesamtSpeich"),AF31&gt;0),INDEX(Transferwert!$A:$XFD,FLOOR(AJ31,1)+1,VLOOKUP(AE31,Offsets,2,FALSE)+AF31-17)+(AJ31-FLOOR(AJ31,1))*(INDEX(Transferwert!$A:$XFD,1+FLOOR(AJ31,1)+1,VLOOKUP(AE31,Offsets,2,FALSE)+AF31-17)-INDEX(Transferwert!$A:$XFD,FLOOR(AJ31,1)+1,VLOOKUP(AE31,Offsets,2,FALSE)+AF31-17)),"")</f>
        <v>#VALUE!</v>
      </c>
      <c r="Y31" s="109" t="e">
        <f ca="1">IF(AND(AF31&gt;0,NOW()-FLOOR(TODAY(),1)-$Z$41&gt;0,NOW()-FLOOR(TODAY(),1)-$Z$41&lt;0.1),INDEX(Transferwert!$A:$XFD,FLOOR(AJ31,1)+1,VLOOKUP($AE31,Offsets,2,FALSE)+AF31+1-17)+(AJ31-FLOOR(AJ31,1))*(INDEX(Transferwert!$A:$XFD,1+FLOOR(AJ31,1)+1,VLOOKUP($AE31,Offsets,2,FALSE)+AF31+1-17)-INDEX(Transferwert!$A:$XFD,FLOOR(AJ31,1)+1,VLOOKUP($AE31,Offsets,2,FALSE)+AF31+1-17)),"")</f>
        <v>#VALUE!</v>
      </c>
      <c r="Z31" s="17" t="e">
        <f t="shared" si="3"/>
        <v>#VALUE!</v>
      </c>
      <c r="AA31" s="110">
        <f t="shared" si="4"/>
      </c>
      <c r="AB31" s="17" t="e">
        <f t="shared" si="16"/>
        <v>#NUM!</v>
      </c>
      <c r="AC31" s="110">
        <f t="shared" si="5"/>
      </c>
      <c r="AD31" s="128" t="e">
        <f>INDEX(Daten!$A$1:$U$1000,4+($AV31-29)*6+$Z$4-1,2)</f>
        <v>#VALUE!</v>
      </c>
      <c r="AE31" s="118" t="e">
        <f>IF($AA$6="OpenOffice",TRIM(INDEX(Daten!$A$1:$U$1000,5+($AV31-29)*6+$Z$4-1,2)),TRIM(INDEX(Daten!$A$1:$U$1000,1+($AV31-29)*1+$Z$4-1,8)))</f>
        <v>#VALUE!</v>
      </c>
      <c r="AF31" s="94" t="e">
        <f>IF($AA$6="OpenOffice",INDEX(Daten!$A$1:$U$1000,5+($AV31-29)*6+$Z$4-1,3),INDEX(Daten!$A$1:$U$1000,1+($AV31-29)*1+$Z$4-1,9))</f>
        <v>#VALUE!</v>
      </c>
      <c r="AG31" s="112" t="e">
        <f>IF($AA$6="OpenOffice",SUBSTITUTE(SUBSTITUTE(LEFT(INDEX(Daten!$A$1:$U$1000,5+($AV31-29)*6+$Z$4-1,5),6),".",""),"/",""),SUBSTITUTE(SUBSTITUTE(LEFT(INDEX(Daten!$A$1:$U$1000,1+($AV31-29)*1+$Z$4-1,11),6),".",""),"/",""))</f>
        <v>#VALUE!</v>
      </c>
      <c r="AH31" s="112" t="e">
        <f>IF($AA$6="OpenOffice",SUBSTITUTE(SUBSTITUTE(RIGHT(INDEX(Daten!$A$1:$U$1000,5+($AV31-29)*6+$Z$4-1,5),6),".",""),"/",""),SUBSTITUTE(SUBSTITUTE(RIGHT(INDEX(Daten!$A$1:$U$1000,1+($AV31-29)*1+$Z$4-1,11),6),".",""),"/",""))</f>
        <v>#VALUE!</v>
      </c>
      <c r="AI31" s="104" t="e">
        <f t="shared" si="6"/>
        <v>#VALUE!</v>
      </c>
      <c r="AJ31" s="119" t="e">
        <f t="shared" si="7"/>
        <v>#VALUE!</v>
      </c>
      <c r="AK31" s="129" t="e">
        <f>IF($AA$6="OpenOffice",INDEX(Daten!$A$1:$U$1000,5+($AV31-29)*6+$Z$4-1,6),INDEX(Daten!$A$1:$U$1000,1+($AV31-29)*1+$Z$4-1,12))</f>
        <v>#VALUE!</v>
      </c>
      <c r="AL31" s="121" t="e">
        <f t="shared" si="8"/>
        <v>#VALUE!</v>
      </c>
      <c r="AM31" s="122" t="e">
        <f t="shared" si="9"/>
        <v>#VALUE!</v>
      </c>
      <c r="AN31" s="123" t="e">
        <f t="shared" si="10"/>
        <v>#VALUE!</v>
      </c>
      <c r="AO31" s="124">
        <f t="shared" si="11"/>
      </c>
      <c r="AP31" s="125" t="e">
        <f>IF(AF31&gt;0,IF(AR31&gt;='OFM-Transfer'!$P$4,AK31-AO31,""),"")</f>
        <v>#VALUE!</v>
      </c>
      <c r="AQ31" s="104" t="e">
        <f>IF(AF31&gt;0,235*SQRT(SQRT(((AH31+$U$4+(35-Spieltag)*INDEX(Optionen,Offset_TP,1+IF(AF31&lt;27,0,1)+VLOOKUP($AE31,Mannschaftsteil,2,FALSE)))/(AG31+'OFM-Transfer'!$Q$4+(35-Spieltag)*(IF(OR($O$4="Liga&amp;Friendly",$O$4="nur Liga"),INDEX(Optionen,1,1+VLOOKUP($AE31,Mannschaftsteil,2,FALSE)),0)+IF(OR($O$4="Liga&amp;Friendly",$O$4="nur Friendly"),INDEX(Optionen,2,1+VLOOKUP($AE31,Mannschaftsteil,2,FALSE)),0)))-0.4)))/200*(AG31+'OFM-Transfer'!$Q$4+(35-Spieltag)*(IF(OR($O$4="Liga&amp;Friendly",$O$4="nur Liga"),INDEX(Optionen,1,1+VLOOKUP($AE31,Mannschaftsteil,2,FALSE)),0)+IF(OR($O$4="Liga&amp;Friendly",$O$4="nur Friendly"),INDEX(Optionen,2,1+VLOOKUP($AE31,Mannschaftsteil,2,FALSE)),0))),"")</f>
        <v>#VALUE!</v>
      </c>
      <c r="AR31" s="105">
        <f t="shared" si="12"/>
      </c>
      <c r="AS31" s="130" t="e">
        <f>IF(AND(AF31&gt;0,AR31&gt;=$P$4),INDEX(Transferwert!$A:$XFD,INT(AR31)+1,VLOOKUP(AE31,Offsets,2,FALSE)+AF31+1-17)-AK31-(34-$Y$4)*VLOOKUP(FLOOR($AJ31,1),Gehaltsstruktur,2),"")</f>
        <v>#VALUE!</v>
      </c>
      <c r="AT31" s="107" t="e">
        <f t="shared" si="0"/>
        <v>#VALUE!</v>
      </c>
      <c r="AU31" s="107" t="e">
        <f t="shared" si="1"/>
        <v>#VALUE!</v>
      </c>
      <c r="AV31" s="131">
        <f ca="1">IF($X$43=INFO("Version"),51,"")</f>
      </c>
      <c r="AW31" s="132" t="e">
        <f>IF(AND(AF31&gt;0,AS31&gt;0,AR31&gt;='OFM-Transfer'!$P$4),ROUND(MIN(AS31/3,MAX(0.1*AK31,1.2*(AS31-MAX(Q32:Q39))))+AK31,0-3),"")</f>
        <v>#VALUE!</v>
      </c>
      <c r="AY31" s="110" t="e">
        <f t="shared" si="17"/>
        <v>#NUM!</v>
      </c>
    </row>
    <row r="32" spans="2:51" ht="12.75">
      <c r="B32" s="117">
        <f t="shared" si="20"/>
      </c>
      <c r="C32" s="118">
        <f t="shared" si="20"/>
      </c>
      <c r="D32" s="94">
        <f t="shared" si="20"/>
      </c>
      <c r="E32" s="112">
        <f t="shared" si="20"/>
      </c>
      <c r="F32" s="112">
        <f t="shared" si="20"/>
      </c>
      <c r="G32" s="104">
        <f t="shared" si="20"/>
      </c>
      <c r="H32" s="119">
        <f t="shared" si="20"/>
      </c>
      <c r="I32" s="120">
        <f t="shared" si="20"/>
      </c>
      <c r="J32" s="121">
        <f t="shared" si="20"/>
      </c>
      <c r="K32" s="122">
        <f t="shared" si="20"/>
      </c>
      <c r="L32" s="123">
        <f t="shared" si="13"/>
      </c>
      <c r="M32" s="124">
        <f t="shared" si="20"/>
      </c>
      <c r="N32" s="125">
        <f t="shared" si="20"/>
      </c>
      <c r="O32" s="104">
        <f t="shared" si="20"/>
      </c>
      <c r="P32" s="105">
        <f t="shared" si="20"/>
      </c>
      <c r="Q32" s="126">
        <f t="shared" si="19"/>
      </c>
      <c r="R32" s="107"/>
      <c r="S32" s="107"/>
      <c r="T32" s="131">
        <f t="shared" si="14"/>
      </c>
      <c r="U32" s="122">
        <f t="shared" si="18"/>
      </c>
      <c r="V32" s="347">
        <f t="shared" si="15"/>
      </c>
      <c r="X32" s="109" t="e">
        <f ca="1">IF(AND(X$44=INFO("GesamtSpeich"),AF32&gt;0),INDEX(Transferwert!$A:$XFD,FLOOR(AJ32,1)+1,VLOOKUP(AE32,Offsets,2,FALSE)+AF32-17)+(AJ32-FLOOR(AJ32,1))*(INDEX(Transferwert!$A:$XFD,1+FLOOR(AJ32,1)+1,VLOOKUP(AE32,Offsets,2,FALSE)+AF32-17)-INDEX(Transferwert!$A:$XFD,FLOOR(AJ32,1)+1,VLOOKUP(AE32,Offsets,2,FALSE)+AF32-17)),"")</f>
        <v>#VALUE!</v>
      </c>
      <c r="Y32" s="109" t="e">
        <f ca="1">IF(AND(AF32&gt;0,NOW()-FLOOR(TODAY(),1)-$Z$41&gt;0,NOW()-FLOOR(TODAY(),1)-$Z$41&lt;0.1),INDEX(Transferwert!$A:$XFD,FLOOR(AJ32,1)+1,VLOOKUP($AE32,Offsets,2,FALSE)+AF32+1-17)+(AJ32-FLOOR(AJ32,1))*(INDEX(Transferwert!$A:$XFD,1+FLOOR(AJ32,1)+1,VLOOKUP($AE32,Offsets,2,FALSE)+AF32+1-17)-INDEX(Transferwert!$A:$XFD,FLOOR(AJ32,1)+1,VLOOKUP($AE32,Offsets,2,FALSE)+AF32+1-17)),"")</f>
        <v>#VALUE!</v>
      </c>
      <c r="Z32" s="17" t="e">
        <f t="shared" si="3"/>
        <v>#VALUE!</v>
      </c>
      <c r="AA32" s="110">
        <f t="shared" si="4"/>
      </c>
      <c r="AB32" s="17" t="e">
        <f t="shared" si="16"/>
        <v>#NUM!</v>
      </c>
      <c r="AC32" s="110">
        <f t="shared" si="5"/>
      </c>
      <c r="AD32" s="128" t="e">
        <f>INDEX(Daten!$A$1:$U$1000,4+($AV32-29)*6+$Z$4-1,2)</f>
        <v>#VALUE!</v>
      </c>
      <c r="AE32" s="118" t="e">
        <f>IF($AA$6="OpenOffice",TRIM(INDEX(Daten!$A$1:$U$1000,5+($AV32-29)*6+$Z$4-1,2)),TRIM(INDEX(Daten!$A$1:$U$1000,1+($AV32-29)*1+$Z$4-1,8)))</f>
        <v>#VALUE!</v>
      </c>
      <c r="AF32" s="94" t="e">
        <f>IF($AA$6="OpenOffice",INDEX(Daten!$A$1:$U$1000,5+($AV32-29)*6+$Z$4-1,3),INDEX(Daten!$A$1:$U$1000,1+($AV32-29)*1+$Z$4-1,9))</f>
        <v>#VALUE!</v>
      </c>
      <c r="AG32" s="112" t="e">
        <f>IF($AA$6="OpenOffice",SUBSTITUTE(SUBSTITUTE(LEFT(INDEX(Daten!$A$1:$U$1000,5+($AV32-29)*6+$Z$4-1,5),6),".",""),"/",""),SUBSTITUTE(SUBSTITUTE(LEFT(INDEX(Daten!$A$1:$U$1000,1+($AV32-29)*1+$Z$4-1,11),6),".",""),"/",""))</f>
        <v>#VALUE!</v>
      </c>
      <c r="AH32" s="112" t="e">
        <f>IF($AA$6="OpenOffice",SUBSTITUTE(SUBSTITUTE(RIGHT(INDEX(Daten!$A$1:$U$1000,5+($AV32-29)*6+$Z$4-1,5),6),".",""),"/",""),SUBSTITUTE(SUBSTITUTE(RIGHT(INDEX(Daten!$A$1:$U$1000,1+($AV32-29)*1+$Z$4-1,11),6),".",""),"/",""))</f>
        <v>#VALUE!</v>
      </c>
      <c r="AI32" s="104" t="e">
        <f t="shared" si="6"/>
        <v>#VALUE!</v>
      </c>
      <c r="AJ32" s="119" t="e">
        <f t="shared" si="7"/>
        <v>#VALUE!</v>
      </c>
      <c r="AK32" s="129" t="e">
        <f>IF($AA$6="OpenOffice",INDEX(Daten!$A$1:$U$1000,5+($AV32-29)*6+$Z$4-1,6),INDEX(Daten!$A$1:$U$1000,1+($AV32-29)*1+$Z$4-1,12))</f>
        <v>#VALUE!</v>
      </c>
      <c r="AL32" s="121" t="e">
        <f t="shared" si="8"/>
        <v>#VALUE!</v>
      </c>
      <c r="AM32" s="122" t="e">
        <f t="shared" si="9"/>
        <v>#VALUE!</v>
      </c>
      <c r="AN32" s="123" t="e">
        <f t="shared" si="10"/>
        <v>#VALUE!</v>
      </c>
      <c r="AO32" s="124">
        <f t="shared" si="11"/>
      </c>
      <c r="AP32" s="125" t="e">
        <f>IF(AF32&gt;0,IF(AR32&gt;='OFM-Transfer'!$P$4,AK32-AO32,""),"")</f>
        <v>#VALUE!</v>
      </c>
      <c r="AQ32" s="104" t="e">
        <f>IF(AF32&gt;0,235*SQRT(SQRT(((AH32+$U$4+(35-Spieltag)*INDEX(Optionen,Offset_TP,1+IF(AF32&lt;27,0,1)+VLOOKUP($AE32,Mannschaftsteil,2,FALSE)))/(AG32+'OFM-Transfer'!$Q$4+(35-Spieltag)*(IF(OR($O$4="Liga&amp;Friendly",$O$4="nur Liga"),INDEX(Optionen,1,1+VLOOKUP($AE32,Mannschaftsteil,2,FALSE)),0)+IF(OR($O$4="Liga&amp;Friendly",$O$4="nur Friendly"),INDEX(Optionen,2,1+VLOOKUP($AE32,Mannschaftsteil,2,FALSE)),0)))-0.4)))/200*(AG32+'OFM-Transfer'!$Q$4+(35-Spieltag)*(IF(OR($O$4="Liga&amp;Friendly",$O$4="nur Liga"),INDEX(Optionen,1,1+VLOOKUP($AE32,Mannschaftsteil,2,FALSE)),0)+IF(OR($O$4="Liga&amp;Friendly",$O$4="nur Friendly"),INDEX(Optionen,2,1+VLOOKUP($AE32,Mannschaftsteil,2,FALSE)),0))),"")</f>
        <v>#VALUE!</v>
      </c>
      <c r="AR32" s="105">
        <f t="shared" si="12"/>
      </c>
      <c r="AS32" s="130" t="e">
        <f>IF(AND(AF32&gt;0,AR32&gt;=$P$4),INDEX(Transferwert!$A:$XFD,INT(AR32)+1,VLOOKUP(AE32,Offsets,2,FALSE)+AF32+1-17)-AK32-(34-$Y$4)*VLOOKUP(FLOOR($AJ32,1),Gehaltsstruktur,2),"")</f>
        <v>#VALUE!</v>
      </c>
      <c r="AT32" s="107" t="e">
        <f t="shared" si="0"/>
        <v>#VALUE!</v>
      </c>
      <c r="AU32" s="107" t="e">
        <f t="shared" si="1"/>
        <v>#VALUE!</v>
      </c>
      <c r="AV32" s="131">
        <f ca="1">IF($X$43=INFO("Version"),52,"")</f>
      </c>
      <c r="AW32" s="132" t="e">
        <f>IF(AND(AF32&gt;0,AS32&gt;0,AR32&gt;='OFM-Transfer'!$P$4),ROUND(MIN(AS32/3,MAX(0.1*AK32,1.2*(AS32-MAX(Q33:Q40))))+AK32,0-3),"")</f>
        <v>#VALUE!</v>
      </c>
      <c r="AY32" s="110" t="e">
        <f t="shared" si="17"/>
        <v>#NUM!</v>
      </c>
    </row>
    <row r="33" spans="2:51" ht="12.75">
      <c r="B33" s="134">
        <f t="shared" si="20"/>
      </c>
      <c r="C33" s="118">
        <f t="shared" si="20"/>
      </c>
      <c r="D33" s="94">
        <f t="shared" si="20"/>
      </c>
      <c r="E33" s="112">
        <f t="shared" si="20"/>
      </c>
      <c r="F33" s="112">
        <f t="shared" si="20"/>
      </c>
      <c r="G33" s="104">
        <f t="shared" si="20"/>
      </c>
      <c r="H33" s="119">
        <f t="shared" si="20"/>
      </c>
      <c r="I33" s="120">
        <f t="shared" si="20"/>
      </c>
      <c r="J33" s="121">
        <f t="shared" si="20"/>
      </c>
      <c r="K33" s="122">
        <f t="shared" si="20"/>
      </c>
      <c r="L33" s="123">
        <f t="shared" si="13"/>
      </c>
      <c r="M33" s="124">
        <f t="shared" si="20"/>
      </c>
      <c r="N33" s="125">
        <f t="shared" si="20"/>
      </c>
      <c r="O33" s="104">
        <f t="shared" si="20"/>
      </c>
      <c r="P33" s="105">
        <f t="shared" si="20"/>
      </c>
      <c r="Q33" s="126">
        <f t="shared" si="19"/>
      </c>
      <c r="R33" s="107"/>
      <c r="S33" s="107"/>
      <c r="T33" s="131">
        <f t="shared" si="14"/>
      </c>
      <c r="U33" s="122">
        <f t="shared" si="18"/>
      </c>
      <c r="V33" s="347">
        <f t="shared" si="15"/>
      </c>
      <c r="X33" s="109" t="e">
        <f ca="1">IF(AND(X$44=INFO("GesamtSpeich"),AF33&gt;0),INDEX(Transferwert!$A:$XFD,FLOOR(AJ33,1)+1,VLOOKUP(AE33,Offsets,2,FALSE)+AF33-17)+(AJ33-FLOOR(AJ33,1))*(INDEX(Transferwert!$A:$XFD,1+FLOOR(AJ33,1)+1,VLOOKUP(AE33,Offsets,2,FALSE)+AF33-17)-INDEX(Transferwert!$A:$XFD,FLOOR(AJ33,1)+1,VLOOKUP(AE33,Offsets,2,FALSE)+AF33-17)),"")</f>
        <v>#VALUE!</v>
      </c>
      <c r="Y33" s="109" t="e">
        <f ca="1">IF(AND(AF33&gt;0,NOW()-FLOOR(TODAY(),1)-$Z$41&gt;0,NOW()-FLOOR(TODAY(),1)-$Z$41&lt;0.1),INDEX(Transferwert!$A:$XFD,FLOOR(AJ33,1)+1,VLOOKUP($AE33,Offsets,2,FALSE)+AF33+1-17)+(AJ33-FLOOR(AJ33,1))*(INDEX(Transferwert!$A:$XFD,1+FLOOR(AJ33,1)+1,VLOOKUP($AE33,Offsets,2,FALSE)+AF33+1-17)-INDEX(Transferwert!$A:$XFD,FLOOR(AJ33,1)+1,VLOOKUP($AE33,Offsets,2,FALSE)+AF33+1-17)),"")</f>
        <v>#VALUE!</v>
      </c>
      <c r="Z33" s="17" t="e">
        <f t="shared" si="3"/>
        <v>#VALUE!</v>
      </c>
      <c r="AA33" s="110">
        <f t="shared" si="4"/>
      </c>
      <c r="AB33" s="17" t="e">
        <f t="shared" si="16"/>
        <v>#NUM!</v>
      </c>
      <c r="AC33" s="110">
        <f t="shared" si="5"/>
      </c>
      <c r="AD33" s="135" t="e">
        <f>INDEX(Daten!$A$1:$U$1000,4+($AV33-29)*6+$Z$4-1,2)</f>
        <v>#VALUE!</v>
      </c>
      <c r="AE33" s="118" t="e">
        <f>IF($AA$6="OpenOffice",TRIM(INDEX(Daten!$A$1:$U$1000,5+($AV33-29)*6+$Z$4-1,2)),TRIM(INDEX(Daten!$A$1:$U$1000,1+($AV33-29)*1+$Z$4-1,8)))</f>
        <v>#VALUE!</v>
      </c>
      <c r="AF33" s="94" t="e">
        <f>IF($AA$6="OpenOffice",INDEX(Daten!$A$1:$U$1000,5+($AV33-29)*6+$Z$4-1,3),INDEX(Daten!$A$1:$U$1000,1+($AV33-29)*1+$Z$4-1,9))</f>
        <v>#VALUE!</v>
      </c>
      <c r="AG33" s="112" t="e">
        <f>IF($AA$6="OpenOffice",SUBSTITUTE(SUBSTITUTE(LEFT(INDEX(Daten!$A$1:$U$1000,5+($AV33-29)*6+$Z$4-1,5),6),".",""),"/",""),SUBSTITUTE(SUBSTITUTE(LEFT(INDEX(Daten!$A$1:$U$1000,1+($AV33-29)*1+$Z$4-1,11),6),".",""),"/",""))</f>
        <v>#VALUE!</v>
      </c>
      <c r="AH33" s="112" t="e">
        <f>IF($AA$6="OpenOffice",SUBSTITUTE(SUBSTITUTE(RIGHT(INDEX(Daten!$A$1:$U$1000,5+($AV33-29)*6+$Z$4-1,5),6),".",""),"/",""),SUBSTITUTE(SUBSTITUTE(RIGHT(INDEX(Daten!$A$1:$U$1000,1+($AV33-29)*1+$Z$4-1,11),6),".",""),"/",""))</f>
        <v>#VALUE!</v>
      </c>
      <c r="AI33" s="104" t="e">
        <f t="shared" si="6"/>
        <v>#VALUE!</v>
      </c>
      <c r="AJ33" s="119" t="e">
        <f t="shared" si="7"/>
        <v>#VALUE!</v>
      </c>
      <c r="AK33" s="129" t="e">
        <f>IF($AA$6="OpenOffice",INDEX(Daten!$A$1:$U$1000,5+($AV33-29)*6+$Z$4-1,6),INDEX(Daten!$A$1:$U$1000,1+($AV33-29)*1+$Z$4-1,12))</f>
        <v>#VALUE!</v>
      </c>
      <c r="AL33" s="121" t="e">
        <f t="shared" si="8"/>
        <v>#VALUE!</v>
      </c>
      <c r="AM33" s="122" t="e">
        <f t="shared" si="9"/>
        <v>#VALUE!</v>
      </c>
      <c r="AN33" s="123" t="e">
        <f aca="true" t="shared" si="21" ref="AN33:AN38">IF(AND(AF33&gt;0,MAX(K34:K39)&lt;&gt;0),ROUND(AK33+1.1*(MIN(K34:K39)-AM33),-3),"")</f>
        <v>#VALUE!</v>
      </c>
      <c r="AO33" s="124">
        <f t="shared" si="11"/>
      </c>
      <c r="AP33" s="125" t="e">
        <f>IF(AF33&gt;0,IF(AR33&gt;='OFM-Transfer'!$P$4,AK33-AO33,""),"")</f>
        <v>#VALUE!</v>
      </c>
      <c r="AQ33" s="104" t="e">
        <f>IF(AF33&gt;0,235*SQRT(SQRT(((AH33+$U$4+(35-Spieltag)*INDEX(Optionen,Offset_TP,1+IF(AF33&lt;27,0,1)+VLOOKUP($AE33,Mannschaftsteil,2,FALSE)))/(AG33+'OFM-Transfer'!$Q$4+(35-Spieltag)*(IF(OR($O$4="Liga&amp;Friendly",$O$4="nur Liga"),INDEX(Optionen,1,1+VLOOKUP($AE33,Mannschaftsteil,2,FALSE)),0)+IF(OR($O$4="Liga&amp;Friendly",$O$4="nur Friendly"),INDEX(Optionen,2,1+VLOOKUP($AE33,Mannschaftsteil,2,FALSE)),0)))-0.4)))/200*(AG33+'OFM-Transfer'!$Q$4+(35-Spieltag)*(IF(OR($O$4="Liga&amp;Friendly",$O$4="nur Liga"),INDEX(Optionen,1,1+VLOOKUP($AE33,Mannschaftsteil,2,FALSE)),0)+IF(OR($O$4="Liga&amp;Friendly",$O$4="nur Friendly"),INDEX(Optionen,2,1+VLOOKUP($AE33,Mannschaftsteil,2,FALSE)),0))),"")</f>
        <v>#VALUE!</v>
      </c>
      <c r="AR33" s="105">
        <f t="shared" si="12"/>
      </c>
      <c r="AS33" s="130" t="e">
        <f>IF(AND(AF33&gt;0,AR33&gt;=$P$4),INDEX(Transferwert!$A:$XFD,INT(AR33)+1,VLOOKUP(AE33,Offsets,2,FALSE)+AF33+1-17)-AK33-(34-$Y$4)*VLOOKUP(FLOOR($AJ33,1),Gehaltsstruktur,2),"")</f>
        <v>#VALUE!</v>
      </c>
      <c r="AT33" s="107" t="e">
        <f t="shared" si="0"/>
        <v>#VALUE!</v>
      </c>
      <c r="AU33" s="107" t="e">
        <f t="shared" si="1"/>
        <v>#VALUE!</v>
      </c>
      <c r="AV33" s="131">
        <f ca="1">IF($X$43=INFO("Version"),53,"")</f>
      </c>
      <c r="AW33" s="132" t="e">
        <f>IF(AND(AF33&gt;0,AS33&gt;0,AR33&gt;='OFM-Transfer'!$P$4),ROUND(MIN(AS33/3,MAX(0.1*AK33,1.2*(AS33-MAX(Q34:Q41))))+AK33,0-3),"")</f>
        <v>#VALUE!</v>
      </c>
      <c r="AY33" s="110" t="e">
        <f t="shared" si="17"/>
        <v>#NUM!</v>
      </c>
    </row>
    <row r="34" spans="2:51" ht="12.75">
      <c r="B34" s="117">
        <f t="shared" si="20"/>
      </c>
      <c r="C34" s="118">
        <f t="shared" si="20"/>
      </c>
      <c r="D34" s="94">
        <f t="shared" si="20"/>
      </c>
      <c r="E34" s="112">
        <f t="shared" si="20"/>
      </c>
      <c r="F34" s="112">
        <f t="shared" si="20"/>
      </c>
      <c r="G34" s="104">
        <f t="shared" si="20"/>
      </c>
      <c r="H34" s="119">
        <f t="shared" si="20"/>
      </c>
      <c r="I34" s="120">
        <f t="shared" si="20"/>
      </c>
      <c r="J34" s="121">
        <f t="shared" si="20"/>
      </c>
      <c r="K34" s="122">
        <f t="shared" si="20"/>
      </c>
      <c r="L34" s="123">
        <f t="shared" si="13"/>
      </c>
      <c r="M34" s="124">
        <f t="shared" si="20"/>
      </c>
      <c r="N34" s="125">
        <f t="shared" si="20"/>
      </c>
      <c r="O34" s="104">
        <f t="shared" si="20"/>
      </c>
      <c r="P34" s="105">
        <f t="shared" si="20"/>
      </c>
      <c r="Q34" s="126">
        <f t="shared" si="19"/>
      </c>
      <c r="R34" s="107"/>
      <c r="S34" s="107"/>
      <c r="T34" s="131">
        <f t="shared" si="14"/>
      </c>
      <c r="U34" s="122">
        <f t="shared" si="18"/>
      </c>
      <c r="V34" s="347">
        <f t="shared" si="15"/>
      </c>
      <c r="X34" s="109" t="e">
        <f ca="1">IF(AND(X$44=INFO("GesamtSpeich"),AF34&gt;0),INDEX(Transferwert!$A:$XFD,FLOOR(AJ34,1)+1,VLOOKUP(AE34,Offsets,2,FALSE)+AF34-17)+(AJ34-FLOOR(AJ34,1))*(INDEX(Transferwert!$A:$XFD,1+FLOOR(AJ34,1)+1,VLOOKUP(AE34,Offsets,2,FALSE)+AF34-17)-INDEX(Transferwert!$A:$XFD,FLOOR(AJ34,1)+1,VLOOKUP(AE34,Offsets,2,FALSE)+AF34-17)),"")</f>
        <v>#VALUE!</v>
      </c>
      <c r="Y34" s="109" t="e">
        <f ca="1">IF(AND(AF34&gt;0,NOW()-FLOOR(TODAY(),1)-$Z$41&gt;0,NOW()-FLOOR(TODAY(),1)-$Z$41&lt;0.1),INDEX(Transferwert!$A:$XFD,FLOOR(AJ34,1)+1,VLOOKUP($AE34,Offsets,2,FALSE)+AF34+1-17)+(AJ34-FLOOR(AJ34,1))*(INDEX(Transferwert!$A:$XFD,1+FLOOR(AJ34,1)+1,VLOOKUP($AE34,Offsets,2,FALSE)+AF34+1-17)-INDEX(Transferwert!$A:$XFD,FLOOR(AJ34,1)+1,VLOOKUP($AE34,Offsets,2,FALSE)+AF34+1-17)),"")</f>
        <v>#VALUE!</v>
      </c>
      <c r="Z34" s="17" t="e">
        <f t="shared" si="3"/>
        <v>#VALUE!</v>
      </c>
      <c r="AA34" s="110">
        <f t="shared" si="4"/>
      </c>
      <c r="AB34" s="17" t="e">
        <f t="shared" si="16"/>
        <v>#NUM!</v>
      </c>
      <c r="AC34" s="110">
        <f t="shared" si="5"/>
      </c>
      <c r="AD34" s="128" t="e">
        <f>INDEX(Daten!$A$1:$U$1000,4+($AV34-29)*6+$Z$4-1,2)</f>
        <v>#VALUE!</v>
      </c>
      <c r="AE34" s="118" t="e">
        <f>IF($AA$6="OpenOffice",TRIM(INDEX(Daten!$A$1:$U$1000,5+($AV34-29)*6+$Z$4-1,2)),TRIM(INDEX(Daten!$A$1:$U$1000,1+($AV34-29)*1+$Z$4-1,8)))</f>
        <v>#VALUE!</v>
      </c>
      <c r="AF34" s="94" t="e">
        <f>IF($AA$6="OpenOffice",INDEX(Daten!$A$1:$U$1000,5+($AV34-29)*6+$Z$4-1,3),INDEX(Daten!$A$1:$U$1000,1+($AV34-29)*1+$Z$4-1,9))</f>
        <v>#VALUE!</v>
      </c>
      <c r="AG34" s="112" t="e">
        <f>IF($AA$6="OpenOffice",SUBSTITUTE(SUBSTITUTE(LEFT(INDEX(Daten!$A$1:$U$1000,5+($AV34-29)*6+$Z$4-1,5),6),".",""),"/",""),SUBSTITUTE(SUBSTITUTE(LEFT(INDEX(Daten!$A$1:$U$1000,1+($AV34-29)*1+$Z$4-1,11),6),".",""),"/",""))</f>
        <v>#VALUE!</v>
      </c>
      <c r="AH34" s="112" t="e">
        <f>IF($AA$6="OpenOffice",SUBSTITUTE(SUBSTITUTE(RIGHT(INDEX(Daten!$A$1:$U$1000,5+($AV34-29)*6+$Z$4-1,5),6),".",""),"/",""),SUBSTITUTE(SUBSTITUTE(RIGHT(INDEX(Daten!$A$1:$U$1000,1+($AV34-29)*1+$Z$4-1,11),6),".",""),"/",""))</f>
        <v>#VALUE!</v>
      </c>
      <c r="AI34" s="104" t="e">
        <f t="shared" si="6"/>
        <v>#VALUE!</v>
      </c>
      <c r="AJ34" s="119" t="e">
        <f t="shared" si="7"/>
        <v>#VALUE!</v>
      </c>
      <c r="AK34" s="129" t="e">
        <f>IF($AA$6="OpenOffice",INDEX(Daten!$A$1:$U$1000,5+($AV34-29)*6+$Z$4-1,6),INDEX(Daten!$A$1:$U$1000,1+($AV34-29)*1+$Z$4-1,12))</f>
        <v>#VALUE!</v>
      </c>
      <c r="AL34" s="121" t="e">
        <f t="shared" si="8"/>
        <v>#VALUE!</v>
      </c>
      <c r="AM34" s="122" t="e">
        <f t="shared" si="9"/>
        <v>#VALUE!</v>
      </c>
      <c r="AN34" s="123" t="e">
        <f t="shared" si="21"/>
        <v>#VALUE!</v>
      </c>
      <c r="AO34" s="124">
        <f t="shared" si="11"/>
      </c>
      <c r="AP34" s="125" t="e">
        <f>IF(AF34&gt;0,IF(AR34&gt;='OFM-Transfer'!$P$4,AK34-AO34,""),"")</f>
        <v>#VALUE!</v>
      </c>
      <c r="AQ34" s="104" t="e">
        <f>IF(AF34&gt;0,235*SQRT(SQRT(((AH34+$U$4+(35-Spieltag)*INDEX(Optionen,Offset_TP,1+IF(AF34&lt;27,0,1)+VLOOKUP($AE34,Mannschaftsteil,2,FALSE)))/(AG34+'OFM-Transfer'!$Q$4+(35-Spieltag)*(IF(OR($O$4="Liga&amp;Friendly",$O$4="nur Liga"),INDEX(Optionen,1,1+VLOOKUP($AE34,Mannschaftsteil,2,FALSE)),0)+IF(OR($O$4="Liga&amp;Friendly",$O$4="nur Friendly"),INDEX(Optionen,2,1+VLOOKUP($AE34,Mannschaftsteil,2,FALSE)),0)))-0.4)))/200*(AG34+'OFM-Transfer'!$Q$4+(35-Spieltag)*(IF(OR($O$4="Liga&amp;Friendly",$O$4="nur Liga"),INDEX(Optionen,1,1+VLOOKUP($AE34,Mannschaftsteil,2,FALSE)),0)+IF(OR($O$4="Liga&amp;Friendly",$O$4="nur Friendly"),INDEX(Optionen,2,1+VLOOKUP($AE34,Mannschaftsteil,2,FALSE)),0))),"")</f>
        <v>#VALUE!</v>
      </c>
      <c r="AR34" s="105">
        <f t="shared" si="12"/>
      </c>
      <c r="AS34" s="130" t="e">
        <f>IF(AND(AF34&gt;0,AR34&gt;=$P$4),INDEX(Transferwert!$A:$XFD,INT(AR34)+1,VLOOKUP(AE34,Offsets,2,FALSE)+AF34+1-17)-AK34-(34-$Y$4)*VLOOKUP(FLOOR($AJ34,1),Gehaltsstruktur,2),"")</f>
        <v>#VALUE!</v>
      </c>
      <c r="AT34" s="107" t="e">
        <f t="shared" si="0"/>
        <v>#VALUE!</v>
      </c>
      <c r="AU34" s="107" t="e">
        <f t="shared" si="1"/>
        <v>#VALUE!</v>
      </c>
      <c r="AV34" s="131">
        <f ca="1">IF($X$43=INFO("Version"),54,"")</f>
      </c>
      <c r="AW34" s="132" t="e">
        <f>IF(AND(AF34&gt;0,AS34&gt;0,AR34&gt;='OFM-Transfer'!$P$4),ROUND(MIN(AS34/3,MAX(0.1*AK34,1.2*(AS34-MAX(Q35:Q42))))+AK34,0-3),"")</f>
        <v>#VALUE!</v>
      </c>
      <c r="AY34" s="110" t="e">
        <f t="shared" si="17"/>
        <v>#NUM!</v>
      </c>
    </row>
    <row r="35" spans="2:51" ht="12.75">
      <c r="B35" s="117">
        <f t="shared" si="20"/>
      </c>
      <c r="C35" s="118">
        <f t="shared" si="20"/>
      </c>
      <c r="D35" s="94">
        <f t="shared" si="20"/>
      </c>
      <c r="E35" s="112">
        <f t="shared" si="20"/>
      </c>
      <c r="F35" s="112">
        <f t="shared" si="20"/>
      </c>
      <c r="G35" s="104">
        <f t="shared" si="20"/>
      </c>
      <c r="H35" s="119">
        <f t="shared" si="20"/>
      </c>
      <c r="I35" s="129">
        <f t="shared" si="20"/>
      </c>
      <c r="J35" s="121">
        <f t="shared" si="20"/>
      </c>
      <c r="K35" s="122">
        <f t="shared" si="20"/>
      </c>
      <c r="L35" s="123">
        <f t="shared" si="13"/>
      </c>
      <c r="M35" s="124">
        <f t="shared" si="20"/>
      </c>
      <c r="N35" s="125">
        <f t="shared" si="20"/>
      </c>
      <c r="O35" s="104">
        <f t="shared" si="20"/>
      </c>
      <c r="P35" s="105">
        <f t="shared" si="20"/>
      </c>
      <c r="Q35" s="126">
        <f t="shared" si="19"/>
      </c>
      <c r="R35" s="107"/>
      <c r="S35" s="107"/>
      <c r="T35" s="131">
        <f t="shared" si="14"/>
      </c>
      <c r="U35" s="122">
        <f t="shared" si="18"/>
      </c>
      <c r="V35" s="347">
        <f t="shared" si="15"/>
      </c>
      <c r="X35" s="109" t="e">
        <f ca="1">IF(AND(X$44=INFO("GesamtSpeich"),AF35&gt;0),INDEX(Transferwert!$A:$XFD,FLOOR(AJ35,1)+1,VLOOKUP(AE35,Offsets,2,FALSE)+AF35-17)+(AJ35-FLOOR(AJ35,1))*(INDEX(Transferwert!$A:$XFD,1+FLOOR(AJ35,1)+1,VLOOKUP(AE35,Offsets,2,FALSE)+AF35-17)-INDEX(Transferwert!$A:$XFD,FLOOR(AJ35,1)+1,VLOOKUP(AE35,Offsets,2,FALSE)+AF35-17)),"")</f>
        <v>#VALUE!</v>
      </c>
      <c r="Y35" s="109" t="e">
        <f ca="1">IF(AND(AF35&gt;0,NOW()-FLOOR(TODAY(),1)-$Z$41&gt;0,NOW()-FLOOR(TODAY(),1)-$Z$41&lt;0.1),INDEX(Transferwert!$A:$XFD,FLOOR(AJ35,1)+1,VLOOKUP($AE35,Offsets,2,FALSE)+AF35+1-17)+(AJ35-FLOOR(AJ35,1))*(INDEX(Transferwert!$A:$XFD,1+FLOOR(AJ35,1)+1,VLOOKUP($AE35,Offsets,2,FALSE)+AF35+1-17)-INDEX(Transferwert!$A:$XFD,FLOOR(AJ35,1)+1,VLOOKUP($AE35,Offsets,2,FALSE)+AF35+1-17)),"")</f>
        <v>#VALUE!</v>
      </c>
      <c r="Z35" s="17" t="e">
        <f t="shared" si="3"/>
        <v>#VALUE!</v>
      </c>
      <c r="AA35" s="110">
        <f t="shared" si="4"/>
      </c>
      <c r="AB35" s="17" t="e">
        <f t="shared" si="16"/>
        <v>#NUM!</v>
      </c>
      <c r="AC35" s="110">
        <f t="shared" si="5"/>
      </c>
      <c r="AD35" s="128" t="e">
        <f>INDEX(Daten!$A$1:$U$1000,4+($AV35-29)*6+$Z$4-1,2)</f>
        <v>#VALUE!</v>
      </c>
      <c r="AE35" s="118" t="e">
        <f>IF($AA$6="OpenOffice",TRIM(INDEX(Daten!$A$1:$U$1000,5+($AV35-29)*6+$Z$4-1,2)),TRIM(INDEX(Daten!$A$1:$U$1000,1+($AV35-29)*1+$Z$4-1,8)))</f>
        <v>#VALUE!</v>
      </c>
      <c r="AF35" s="94" t="e">
        <f>IF($AA$6="OpenOffice",INDEX(Daten!$A$1:$U$1000,5+($AV35-29)*6+$Z$4-1,3),INDEX(Daten!$A$1:$U$1000,1+($AV35-29)*1+$Z$4-1,9))</f>
        <v>#VALUE!</v>
      </c>
      <c r="AG35" s="112" t="e">
        <f>IF($AA$6="OpenOffice",SUBSTITUTE(SUBSTITUTE(LEFT(INDEX(Daten!$A$1:$U$1000,5+($AV35-29)*6+$Z$4-1,5),6),".",""),"/",""),SUBSTITUTE(SUBSTITUTE(LEFT(INDEX(Daten!$A$1:$U$1000,1+($AV35-29)*1+$Z$4-1,11),6),".",""),"/",""))</f>
        <v>#VALUE!</v>
      </c>
      <c r="AH35" s="112" t="e">
        <f>IF($AA$6="OpenOffice",SUBSTITUTE(SUBSTITUTE(RIGHT(INDEX(Daten!$A$1:$U$1000,5+($AV35-29)*6+$Z$4-1,5),6),".",""),"/",""),SUBSTITUTE(SUBSTITUTE(RIGHT(INDEX(Daten!$A$1:$U$1000,1+($AV35-29)*1+$Z$4-1,11),6),".",""),"/",""))</f>
        <v>#VALUE!</v>
      </c>
      <c r="AI35" s="104" t="e">
        <f t="shared" si="6"/>
        <v>#VALUE!</v>
      </c>
      <c r="AJ35" s="119" t="e">
        <f t="shared" si="7"/>
        <v>#VALUE!</v>
      </c>
      <c r="AK35" s="129" t="e">
        <f>IF($AA$6="OpenOffice",INDEX(Daten!$A$1:$U$1000,5+($AV35-29)*6+$Z$4-1,6),INDEX(Daten!$A$1:$U$1000,1+($AV35-29)*1+$Z$4-1,12))</f>
        <v>#VALUE!</v>
      </c>
      <c r="AL35" s="121" t="e">
        <f t="shared" si="8"/>
        <v>#VALUE!</v>
      </c>
      <c r="AM35" s="122" t="e">
        <f t="shared" si="9"/>
        <v>#VALUE!</v>
      </c>
      <c r="AN35" s="123" t="e">
        <f t="shared" si="21"/>
        <v>#VALUE!</v>
      </c>
      <c r="AO35" s="124">
        <f t="shared" si="11"/>
      </c>
      <c r="AP35" s="125" t="e">
        <f>IF(AF35&gt;0,IF(AR35&gt;='OFM-Transfer'!$P$4,AK35-AO35,""),"")</f>
        <v>#VALUE!</v>
      </c>
      <c r="AQ35" s="104" t="e">
        <f>IF(AF35&gt;0,235*SQRT(SQRT(((AH35+$U$4+(35-Spieltag)*INDEX(Optionen,Offset_TP,1+IF(AF35&lt;27,0,1)+VLOOKUP($AE35,Mannschaftsteil,2,FALSE)))/(AG35+'OFM-Transfer'!$Q$4+(35-Spieltag)*(IF(OR($O$4="Liga&amp;Friendly",$O$4="nur Liga"),INDEX(Optionen,1,1+VLOOKUP($AE35,Mannschaftsteil,2,FALSE)),0)+IF(OR($O$4="Liga&amp;Friendly",$O$4="nur Friendly"),INDEX(Optionen,2,1+VLOOKUP($AE35,Mannschaftsteil,2,FALSE)),0)))-0.4)))/200*(AG35+'OFM-Transfer'!$Q$4+(35-Spieltag)*(IF(OR($O$4="Liga&amp;Friendly",$O$4="nur Liga"),INDEX(Optionen,1,1+VLOOKUP($AE35,Mannschaftsteil,2,FALSE)),0)+IF(OR($O$4="Liga&amp;Friendly",$O$4="nur Friendly"),INDEX(Optionen,2,1+VLOOKUP($AE35,Mannschaftsteil,2,FALSE)),0))),"")</f>
        <v>#VALUE!</v>
      </c>
      <c r="AR35" s="105">
        <f t="shared" si="12"/>
      </c>
      <c r="AS35" s="130" t="e">
        <f>IF(AND(AF35&gt;0,AR35&gt;=$P$4),INDEX(Transferwert!$A:$XFD,INT(AR35)+1,VLOOKUP(AE35,Offsets,2,FALSE)+AF35+1-17)-AK35-(34-$Y$4)*VLOOKUP(FLOOR($AJ35,1),Gehaltsstruktur,2),"")</f>
        <v>#VALUE!</v>
      </c>
      <c r="AT35" s="107" t="e">
        <f t="shared" si="0"/>
        <v>#VALUE!</v>
      </c>
      <c r="AU35" s="107" t="e">
        <f t="shared" si="1"/>
        <v>#VALUE!</v>
      </c>
      <c r="AV35" s="131">
        <f ca="1">IF($X$43=INFO("Version"),55,"")</f>
      </c>
      <c r="AW35" s="132" t="e">
        <f>IF(AND(AF35&gt;0,AS35&gt;0,AR35&gt;='OFM-Transfer'!$P$4),ROUND(MIN(AS35/3,MAX(0.1*AK35,1.2*(AS35-MAX(Q36:Q43))))+AK35,0-3),"")</f>
        <v>#VALUE!</v>
      </c>
      <c r="AY35" s="110" t="e">
        <f t="shared" si="17"/>
        <v>#NUM!</v>
      </c>
    </row>
    <row r="36" spans="2:51" ht="12.75">
      <c r="B36" s="117">
        <f t="shared" si="20"/>
      </c>
      <c r="C36" s="118">
        <f t="shared" si="20"/>
      </c>
      <c r="D36" s="94">
        <f t="shared" si="20"/>
      </c>
      <c r="E36" s="112">
        <f t="shared" si="20"/>
      </c>
      <c r="F36" s="112">
        <f t="shared" si="20"/>
      </c>
      <c r="G36" s="104">
        <f t="shared" si="20"/>
      </c>
      <c r="H36" s="119">
        <f t="shared" si="20"/>
      </c>
      <c r="I36" s="129">
        <f t="shared" si="20"/>
      </c>
      <c r="J36" s="121">
        <f t="shared" si="20"/>
      </c>
      <c r="K36" s="122">
        <f t="shared" si="20"/>
      </c>
      <c r="L36" s="123">
        <f t="shared" si="13"/>
      </c>
      <c r="M36" s="124">
        <f t="shared" si="20"/>
      </c>
      <c r="N36" s="125">
        <f t="shared" si="20"/>
      </c>
      <c r="O36" s="104">
        <f t="shared" si="20"/>
      </c>
      <c r="P36" s="105">
        <f t="shared" si="20"/>
      </c>
      <c r="Q36" s="126">
        <f t="shared" si="19"/>
      </c>
      <c r="R36" s="107"/>
      <c r="S36" s="107"/>
      <c r="T36" s="131">
        <f t="shared" si="14"/>
      </c>
      <c r="U36" s="122">
        <f t="shared" si="18"/>
      </c>
      <c r="V36" s="347">
        <f t="shared" si="15"/>
      </c>
      <c r="X36" s="109" t="e">
        <f ca="1">IF(AND(X$44=INFO("GesamtSpeich"),AF36&gt;0),INDEX(Transferwert!$A:$XFD,FLOOR(AJ36,1)+1,VLOOKUP(AE36,Offsets,2,FALSE)+AF36-17)+(AJ36-FLOOR(AJ36,1))*(INDEX(Transferwert!$A:$XFD,1+FLOOR(AJ36,1)+1,VLOOKUP(AE36,Offsets,2,FALSE)+AF36-17)-INDEX(Transferwert!$A:$XFD,FLOOR(AJ36,1)+1,VLOOKUP(AE36,Offsets,2,FALSE)+AF36-17)),"")</f>
        <v>#VALUE!</v>
      </c>
      <c r="Y36" s="109" t="e">
        <f ca="1">IF(AND(AF36&gt;0,NOW()-FLOOR(TODAY(),1)-$Z$41&gt;0,NOW()-FLOOR(TODAY(),1)-$Z$41&lt;0.1),INDEX(Transferwert!$A:$XFD,FLOOR(AJ36,1)+1,VLOOKUP($AE36,Offsets,2,FALSE)+AF36+1-17)+(AJ36-FLOOR(AJ36,1))*(INDEX(Transferwert!$A:$XFD,1+FLOOR(AJ36,1)+1,VLOOKUP($AE36,Offsets,2,FALSE)+AF36+1-17)-INDEX(Transferwert!$A:$XFD,FLOOR(AJ36,1)+1,VLOOKUP($AE36,Offsets,2,FALSE)+AF36+1-17)),"")</f>
        <v>#VALUE!</v>
      </c>
      <c r="Z36" s="17" t="e">
        <f t="shared" si="3"/>
        <v>#VALUE!</v>
      </c>
      <c r="AA36" s="110">
        <f t="shared" si="4"/>
      </c>
      <c r="AB36" s="17" t="e">
        <f t="shared" si="16"/>
        <v>#NUM!</v>
      </c>
      <c r="AC36" s="110">
        <f t="shared" si="5"/>
      </c>
      <c r="AD36" s="128" t="e">
        <f>INDEX(Daten!$A$1:$U$1000,4+($AV36-29)*6+$Z$4-1,2)</f>
        <v>#VALUE!</v>
      </c>
      <c r="AE36" s="118" t="e">
        <f>IF($AA$6="OpenOffice",TRIM(INDEX(Daten!$A$1:$U$1000,5+($AV36-29)*6+$Z$4-1,2)),TRIM(INDEX(Daten!$A$1:$U$1000,1+($AV36-29)*1+$Z$4-1,8)))</f>
        <v>#VALUE!</v>
      </c>
      <c r="AF36" s="94" t="e">
        <f>IF($AA$6="OpenOffice",INDEX(Daten!$A$1:$U$1000,5+($AV36-29)*6+$Z$4-1,3),INDEX(Daten!$A$1:$U$1000,1+($AV36-29)*1+$Z$4-1,9))</f>
        <v>#VALUE!</v>
      </c>
      <c r="AG36" s="112" t="e">
        <f>IF($AA$6="OpenOffice",SUBSTITUTE(SUBSTITUTE(LEFT(INDEX(Daten!$A$1:$U$1000,5+($AV36-29)*6+$Z$4-1,5),6),".",""),"/",""),SUBSTITUTE(SUBSTITUTE(LEFT(INDEX(Daten!$A$1:$U$1000,1+($AV36-29)*1+$Z$4-1,11),6),".",""),"/",""))</f>
        <v>#VALUE!</v>
      </c>
      <c r="AH36" s="112" t="e">
        <f>IF($AA$6="OpenOffice",SUBSTITUTE(SUBSTITUTE(RIGHT(INDEX(Daten!$A$1:$U$1000,5+($AV36-29)*6+$Z$4-1,5),6),".",""),"/",""),SUBSTITUTE(SUBSTITUTE(RIGHT(INDEX(Daten!$A$1:$U$1000,1+($AV36-29)*1+$Z$4-1,11),6),".",""),"/",""))</f>
        <v>#VALUE!</v>
      </c>
      <c r="AI36" s="104" t="e">
        <f t="shared" si="6"/>
        <v>#VALUE!</v>
      </c>
      <c r="AJ36" s="119" t="e">
        <f t="shared" si="7"/>
        <v>#VALUE!</v>
      </c>
      <c r="AK36" s="129" t="e">
        <f>IF($AA$6="OpenOffice",INDEX(Daten!$A$1:$U$1000,5+($AV36-29)*6+$Z$4-1,6),INDEX(Daten!$A$1:$U$1000,1+($AV36-29)*1+$Z$4-1,12))</f>
        <v>#VALUE!</v>
      </c>
      <c r="AL36" s="121" t="e">
        <f t="shared" si="8"/>
        <v>#VALUE!</v>
      </c>
      <c r="AM36" s="122" t="e">
        <f t="shared" si="9"/>
        <v>#VALUE!</v>
      </c>
      <c r="AN36" s="123" t="e">
        <f t="shared" si="21"/>
        <v>#VALUE!</v>
      </c>
      <c r="AO36" s="124">
        <f t="shared" si="11"/>
      </c>
      <c r="AP36" s="125" t="e">
        <f>IF(AF36&gt;0,IF(AR36&gt;='OFM-Transfer'!$P$4,AK36-AO36,""),"")</f>
        <v>#VALUE!</v>
      </c>
      <c r="AQ36" s="104" t="e">
        <f>IF(AF36&gt;0,235*SQRT(SQRT(((AH36+$U$4+(35-Spieltag)*INDEX(Optionen,Offset_TP,1+IF(AF36&lt;27,0,1)+VLOOKUP($AE36,Mannschaftsteil,2,FALSE)))/(AG36+'OFM-Transfer'!$Q$4+(35-Spieltag)*(IF(OR($O$4="Liga&amp;Friendly",$O$4="nur Liga"),INDEX(Optionen,1,1+VLOOKUP($AE36,Mannschaftsteil,2,FALSE)),0)+IF(OR($O$4="Liga&amp;Friendly",$O$4="nur Friendly"),INDEX(Optionen,2,1+VLOOKUP($AE36,Mannschaftsteil,2,FALSE)),0)))-0.4)))/200*(AG36+'OFM-Transfer'!$Q$4+(35-Spieltag)*(IF(OR($O$4="Liga&amp;Friendly",$O$4="nur Liga"),INDEX(Optionen,1,1+VLOOKUP($AE36,Mannschaftsteil,2,FALSE)),0)+IF(OR($O$4="Liga&amp;Friendly",$O$4="nur Friendly"),INDEX(Optionen,2,1+VLOOKUP($AE36,Mannschaftsteil,2,FALSE)),0))),"")</f>
        <v>#VALUE!</v>
      </c>
      <c r="AR36" s="105">
        <f t="shared" si="12"/>
      </c>
      <c r="AS36" s="130" t="e">
        <f>IF(AND(AF36&gt;0,AR36&gt;=$P$4),INDEX(Transferwert!$A:$XFD,INT(AR36)+1,VLOOKUP(AE36,Offsets,2,FALSE)+AF36+1-17)-AK36-(34-$Y$4)*VLOOKUP(FLOOR($AJ36,1),Gehaltsstruktur,2),"")</f>
        <v>#VALUE!</v>
      </c>
      <c r="AT36" s="107" t="e">
        <f t="shared" si="0"/>
        <v>#VALUE!</v>
      </c>
      <c r="AU36" s="107" t="e">
        <f t="shared" si="1"/>
        <v>#VALUE!</v>
      </c>
      <c r="AV36" s="131">
        <f ca="1">IF($X$43=INFO("Version"),56,"")</f>
      </c>
      <c r="AW36" s="132" t="e">
        <f>IF(AND(AF36&gt;0,AS36&gt;0,AR36&gt;='OFM-Transfer'!$P$4),ROUND(MIN(AS36/3,MAX(0.1*AK36,1.2*(AS36-MAX(Q37:Q44))))+AK36,0-3),"")</f>
        <v>#VALUE!</v>
      </c>
      <c r="AY36" s="110" t="e">
        <f t="shared" si="17"/>
        <v>#NUM!</v>
      </c>
    </row>
    <row r="37" spans="2:51" ht="12.75">
      <c r="B37" s="117">
        <f t="shared" si="20"/>
      </c>
      <c r="C37" s="118">
        <f t="shared" si="20"/>
      </c>
      <c r="D37" s="94">
        <f t="shared" si="20"/>
      </c>
      <c r="E37" s="112">
        <f t="shared" si="20"/>
      </c>
      <c r="F37" s="112">
        <f t="shared" si="20"/>
      </c>
      <c r="G37" s="104">
        <f t="shared" si="20"/>
      </c>
      <c r="H37" s="119">
        <f t="shared" si="20"/>
      </c>
      <c r="I37" s="129">
        <f t="shared" si="20"/>
      </c>
      <c r="J37" s="121">
        <f t="shared" si="20"/>
      </c>
      <c r="K37" s="122">
        <f t="shared" si="20"/>
      </c>
      <c r="L37" s="123">
        <f t="shared" si="13"/>
      </c>
      <c r="M37" s="124">
        <f t="shared" si="20"/>
      </c>
      <c r="N37" s="125">
        <f t="shared" si="20"/>
      </c>
      <c r="O37" s="104">
        <f t="shared" si="20"/>
      </c>
      <c r="P37" s="105">
        <f t="shared" si="20"/>
      </c>
      <c r="Q37" s="126">
        <f t="shared" si="19"/>
      </c>
      <c r="R37" s="136"/>
      <c r="S37" s="107"/>
      <c r="T37" s="131">
        <f t="shared" si="14"/>
      </c>
      <c r="U37" s="122">
        <f t="shared" si="18"/>
      </c>
      <c r="V37" s="347">
        <f t="shared" si="15"/>
      </c>
      <c r="X37" s="109" t="e">
        <f ca="1">IF(AND(X$44=INFO("GesamtSpeich"),AF37&gt;0),INDEX(Transferwert!$A:$XFD,FLOOR(AJ37,1)+1,VLOOKUP(AE37,Offsets,2,FALSE)+AF37-17)+(AJ37-FLOOR(AJ37,1))*(INDEX(Transferwert!$A:$XFD,1+FLOOR(AJ37,1)+1,VLOOKUP(AE37,Offsets,2,FALSE)+AF37-17)-INDEX(Transferwert!$A:$XFD,FLOOR(AJ37,1)+1,VLOOKUP(AE37,Offsets,2,FALSE)+AF37-17)),"")</f>
        <v>#VALUE!</v>
      </c>
      <c r="Y37" s="109" t="e">
        <f ca="1">IF(AND(AF37&gt;0,NOW()-FLOOR(TODAY(),1)-$Z$41&gt;0,NOW()-FLOOR(TODAY(),1)-$Z$41&lt;0.1),INDEX(Transferwert!$A:$XFD,FLOOR(AJ37,1)+1,VLOOKUP($AE37,Offsets,2,FALSE)+AF37+1-17)+(AJ37-FLOOR(AJ37,1))*(INDEX(Transferwert!$A:$XFD,1+FLOOR(AJ37,1)+1,VLOOKUP($AE37,Offsets,2,FALSE)+AF37+1-17)-INDEX(Transferwert!$A:$XFD,FLOOR(AJ37,1)+1,VLOOKUP($AE37,Offsets,2,FALSE)+AF37+1-17)),"")</f>
        <v>#VALUE!</v>
      </c>
      <c r="Z37" s="17" t="e">
        <f t="shared" si="3"/>
        <v>#VALUE!</v>
      </c>
      <c r="AA37" s="110">
        <f t="shared" si="4"/>
      </c>
      <c r="AB37" s="17" t="e">
        <f t="shared" si="16"/>
        <v>#NUM!</v>
      </c>
      <c r="AC37" s="110">
        <f t="shared" si="5"/>
      </c>
      <c r="AD37" s="128" t="e">
        <f>INDEX(Daten!$A$1:$U$1000,4+($AV37-29)*6+$Z$4-1,2)</f>
        <v>#VALUE!</v>
      </c>
      <c r="AE37" s="118" t="e">
        <f>IF($AA$6="OpenOffice",TRIM(INDEX(Daten!$A$1:$U$1000,5+($AV37-29)*6+$Z$4-1,2)),TRIM(INDEX(Daten!$A$1:$U$1000,1+($AV37-29)*1+$Z$4-1,8)))</f>
        <v>#VALUE!</v>
      </c>
      <c r="AF37" s="94" t="e">
        <f>IF($AA$6="OpenOffice",INDEX(Daten!$A$1:$U$1000,5+($AV37-29)*6+$Z$4-1,3),INDEX(Daten!$A$1:$U$1000,1+($AV37-29)*1+$Z$4-1,9))</f>
        <v>#VALUE!</v>
      </c>
      <c r="AG37" s="112" t="e">
        <f>IF($AA$6="OpenOffice",SUBSTITUTE(SUBSTITUTE(LEFT(INDEX(Daten!$A$1:$U$1000,5+($AV37-29)*6+$Z$4-1,5),6),".",""),"/",""),SUBSTITUTE(SUBSTITUTE(LEFT(INDEX(Daten!$A$1:$U$1000,1+($AV37-29)*1+$Z$4-1,11),6),".",""),"/",""))</f>
        <v>#VALUE!</v>
      </c>
      <c r="AH37" s="112" t="e">
        <f>IF($AA$6="OpenOffice",SUBSTITUTE(SUBSTITUTE(RIGHT(INDEX(Daten!$A$1:$U$1000,5+($AV37-29)*6+$Z$4-1,5),6),".",""),"/",""),SUBSTITUTE(SUBSTITUTE(RIGHT(INDEX(Daten!$A$1:$U$1000,1+($AV37-29)*1+$Z$4-1,11),6),".",""),"/",""))</f>
        <v>#VALUE!</v>
      </c>
      <c r="AI37" s="104" t="e">
        <f>IF(AF37&gt;0,235*SQRT(SQRT((AH37/AG37-0.4)))/200*AG37,"")</f>
        <v>#VALUE!</v>
      </c>
      <c r="AJ37" s="119" t="e">
        <f t="shared" si="7"/>
        <v>#VALUE!</v>
      </c>
      <c r="AK37" s="129" t="e">
        <f>IF($AA$6="OpenOffice",INDEX(Daten!$A$1:$U$1000,5+($AV37-29)*6+$Z$4-1,6),INDEX(Daten!$A$1:$U$1000,1+($AV37-29)*1+$Z$4-1,12))</f>
        <v>#VALUE!</v>
      </c>
      <c r="AL37" s="121" t="e">
        <f t="shared" si="8"/>
        <v>#VALUE!</v>
      </c>
      <c r="AM37" s="122" t="e">
        <f t="shared" si="9"/>
        <v>#VALUE!</v>
      </c>
      <c r="AN37" s="123" t="e">
        <f t="shared" si="21"/>
        <v>#VALUE!</v>
      </c>
      <c r="AO37" s="124">
        <f t="shared" si="11"/>
      </c>
      <c r="AP37" s="125" t="e">
        <f>IF(AF37&gt;0,IF(AR37&gt;='OFM-Transfer'!$P$4,AK37-AO37,""),"")</f>
        <v>#VALUE!</v>
      </c>
      <c r="AQ37" s="104" t="e">
        <f>IF(AF37&gt;0,235*SQRT(SQRT(((AH37+$U$4+(35-Spieltag)*INDEX(Optionen,Offset_TP,1+IF(AF37&lt;27,0,1)+VLOOKUP($AE37,Mannschaftsteil,2,FALSE)))/(AG37+'OFM-Transfer'!$Q$4+(35-Spieltag)*(IF(OR($O$4="Liga&amp;Friendly",$O$4="nur Liga"),INDEX(Optionen,1,1+VLOOKUP($AE37,Mannschaftsteil,2,FALSE)),0)+IF(OR($O$4="Liga&amp;Friendly",$O$4="nur Friendly"),INDEX(Optionen,2,1+VLOOKUP($AE37,Mannschaftsteil,2,FALSE)),0)))-0.4)))/200*(AG37+'OFM-Transfer'!$Q$4+(35-Spieltag)*(IF(OR($O$4="Liga&amp;Friendly",$O$4="nur Liga"),INDEX(Optionen,1,1+VLOOKUP($AE37,Mannschaftsteil,2,FALSE)),0)+IF(OR($O$4="Liga&amp;Friendly",$O$4="nur Friendly"),INDEX(Optionen,2,1+VLOOKUP($AE37,Mannschaftsteil,2,FALSE)),0))),"")</f>
        <v>#VALUE!</v>
      </c>
      <c r="AR37" s="105">
        <f t="shared" si="12"/>
      </c>
      <c r="AS37" s="130" t="e">
        <f>IF(AND(AF37&gt;0,AR37&gt;=$P$4),INDEX(Transferwert!$A:$XFD,INT(AR37)+1,VLOOKUP(AE37,Offsets,2,FALSE)+AF37+1-17)-AK37-(34-$Y$4)*VLOOKUP(FLOOR($AJ37,1),Gehaltsstruktur,2),"")</f>
        <v>#VALUE!</v>
      </c>
      <c r="AT37" s="136" t="e">
        <f t="shared" si="0"/>
        <v>#VALUE!</v>
      </c>
      <c r="AU37" s="107" t="e">
        <f t="shared" si="1"/>
        <v>#VALUE!</v>
      </c>
      <c r="AV37" s="131">
        <f ca="1">IF($X$43=INFO("Version"),57,"")</f>
      </c>
      <c r="AW37" s="132" t="e">
        <f>IF(AND(AF37&gt;0,AS37&gt;0,AR37&gt;='OFM-Transfer'!$P$4),ROUND(MIN(AS37/3,MAX(0.1*AK37,1.2*(AS37-MAX(Q38:Q45))))+AK37,0-3),"")</f>
        <v>#VALUE!</v>
      </c>
      <c r="AY37" s="110" t="e">
        <f t="shared" si="17"/>
        <v>#NUM!</v>
      </c>
    </row>
    <row r="38" spans="2:51" ht="12.75">
      <c r="B38" s="137">
        <f>IF(ISERROR(INDEX($AD$9:$AW$38,$T38,COLUMN()-1)),"",INDEX($AD$9:$AW$38,$T38,COLUMN()-1))</f>
      </c>
      <c r="C38" s="138">
        <f t="shared" si="20"/>
      </c>
      <c r="D38" s="139">
        <f t="shared" si="20"/>
      </c>
      <c r="E38" s="140">
        <f t="shared" si="20"/>
      </c>
      <c r="F38" s="140">
        <f t="shared" si="20"/>
      </c>
      <c r="G38" s="141">
        <f t="shared" si="20"/>
      </c>
      <c r="H38" s="142">
        <f t="shared" si="20"/>
      </c>
      <c r="I38" s="143">
        <f t="shared" si="20"/>
      </c>
      <c r="J38" s="144">
        <f t="shared" si="20"/>
      </c>
      <c r="K38" s="145">
        <f t="shared" si="20"/>
      </c>
      <c r="L38" s="146">
        <f t="shared" si="13"/>
      </c>
      <c r="M38" s="147">
        <f t="shared" si="20"/>
      </c>
      <c r="N38" s="148">
        <f t="shared" si="20"/>
      </c>
      <c r="O38" s="141">
        <f t="shared" si="20"/>
      </c>
      <c r="P38" s="149">
        <f t="shared" si="20"/>
      </c>
      <c r="Q38" s="150">
        <f t="shared" si="19"/>
      </c>
      <c r="R38" s="83"/>
      <c r="S38" s="83"/>
      <c r="T38" s="151">
        <f t="shared" si="14"/>
      </c>
      <c r="U38" s="145">
        <f t="shared" si="18"/>
      </c>
      <c r="V38" s="348">
        <f t="shared" si="15"/>
      </c>
      <c r="W38" s="62"/>
      <c r="X38" s="152" t="e">
        <f ca="1">IF(AND(X$44=INFO("GesamtSpeich"),AF38&gt;0),INDEX(Transferwert!$A:$XFD,FLOOR(AJ38,1)+1,VLOOKUP(AE38,Offsets,2,FALSE)+AF38-17)+(AJ38-FLOOR(AJ38,1))*(INDEX(Transferwert!$A:$XFD,1+FLOOR(AJ38,1)+1,VLOOKUP(AE38,Offsets,2,FALSE)+AF38-17)-INDEX(Transferwert!$A:$XFD,FLOOR(AJ38,1)+1,VLOOKUP(AE38,Offsets,2,FALSE)+AF38-17)),"")</f>
        <v>#VALUE!</v>
      </c>
      <c r="Y38" s="152" t="e">
        <f ca="1">IF(AND(AF38&gt;0,NOW()-FLOOR(TODAY(),1)-$Z$41&gt;0,NOW()-FLOOR(TODAY(),1)-$Z$41&lt;0.1),INDEX(Transferwert!$A:$XFD,FLOOR(AJ38,1)+1,VLOOKUP($AE38,Offsets,2,FALSE)+AF38+1-17)+(AJ38-FLOOR(AJ38,1))*(INDEX(Transferwert!$A:$XFD,1+FLOOR(AJ38,1)+1,VLOOKUP($AE38,Offsets,2,FALSE)+AF38+1-17)-INDEX(Transferwert!$A:$XFD,FLOOR(AJ38,1)+1,VLOOKUP($AE38,Offsets,2,FALSE)+AF38+1-17)),"")</f>
        <v>#VALUE!</v>
      </c>
      <c r="Z38" s="153" t="e">
        <f t="shared" si="3"/>
        <v>#VALUE!</v>
      </c>
      <c r="AA38" s="154">
        <f t="shared" si="4"/>
      </c>
      <c r="AB38" s="153" t="e">
        <f t="shared" si="16"/>
        <v>#NUM!</v>
      </c>
      <c r="AC38" s="155">
        <f t="shared" si="5"/>
      </c>
      <c r="AD38" s="156" t="e">
        <f>INDEX(Daten!$A$1:$U$1000,4+($AV38-29)*6+$Z$4-1,2)</f>
        <v>#VALUE!</v>
      </c>
      <c r="AE38" s="138" t="e">
        <f>IF($AA$6="OpenOffice",TRIM(INDEX(Daten!$A$1:$U$1000,5+($AV38-29)*6+$Z$4-1,2)),TRIM(INDEX(Daten!$A$1:$U$1000,1+($AV38-29)*1+$Z$4-1,8)))</f>
        <v>#VALUE!</v>
      </c>
      <c r="AF38" s="139" t="e">
        <f>IF($AA$6="OpenOffice",INDEX(Daten!$A$1:$U$1000,5+($AV38-29)*6+$Z$4-1,3),INDEX(Daten!$A$1:$U$1000,1+($AV38-29)*1+$Z$4-1,9))</f>
        <v>#VALUE!</v>
      </c>
      <c r="AG38" s="140" t="e">
        <f>IF($AA$6="OpenOffice",SUBSTITUTE(SUBSTITUTE(LEFT(INDEX(Daten!$A$1:$U$1000,5+($AV38-29)*6+$Z$4-1,5),6),".",""),"/",""),SUBSTITUTE(SUBSTITUTE(LEFT(INDEX(Daten!$A$1:$U$1000,1+($AV38-29)*1+$Z$4-1,11),6),".",""),"/",""))</f>
        <v>#VALUE!</v>
      </c>
      <c r="AH38" s="140" t="e">
        <f>IF($AA$6="OpenOffice",SUBSTITUTE(SUBSTITUTE(RIGHT(INDEX(Daten!$A$1:$U$1000,5+($AV38-29)*6+$Z$4-1,5),6),".",""),"/",""),SUBSTITUTE(SUBSTITUTE(RIGHT(INDEX(Daten!$A$1:$U$1000,1+($AV38-29)*1+$Z$4-1,11),6),".",""),"/",""))</f>
        <v>#VALUE!</v>
      </c>
      <c r="AI38" s="141" t="e">
        <f>IF(AF38&gt;0,235*SQRT(SQRT((AH38/AG38-0.4)))/200*AG38,"")</f>
        <v>#VALUE!</v>
      </c>
      <c r="AJ38" s="142" t="e">
        <f t="shared" si="7"/>
        <v>#VALUE!</v>
      </c>
      <c r="AK38" s="143" t="e">
        <f>IF($AA$6="OpenOffice",INDEX(Daten!$A$1:$U$1000,5+($AV38-29)*6+$Z$4-1,6),INDEX(Daten!$A$1:$U$1000,1+($AV38-29)*1+$Z$4-1,12))</f>
        <v>#VALUE!</v>
      </c>
      <c r="AL38" s="144" t="e">
        <f t="shared" si="8"/>
        <v>#VALUE!</v>
      </c>
      <c r="AM38" s="145" t="e">
        <f t="shared" si="9"/>
        <v>#VALUE!</v>
      </c>
      <c r="AN38" s="146" t="e">
        <f t="shared" si="21"/>
        <v>#VALUE!</v>
      </c>
      <c r="AO38" s="147">
        <f t="shared" si="11"/>
      </c>
      <c r="AP38" s="148" t="e">
        <f>IF(AF38&gt;0,IF(AR38&gt;='OFM-Transfer'!$P$4,AK38-AO38,""),"")</f>
        <v>#VALUE!</v>
      </c>
      <c r="AQ38" s="141" t="e">
        <f>IF(AF38&gt;0,235*SQRT(SQRT(((AH38+$U$4+(35-Spieltag)*INDEX(Optionen,Offset_TP,1+IF(AF38&lt;27,0,1)+VLOOKUP($AE38,Mannschaftsteil,2,FALSE)))/(AG38+'OFM-Transfer'!$Q$4+(35-Spieltag)*(IF(OR($O$4="Liga&amp;Friendly",$O$4="nur Liga"),INDEX(Optionen,1,1+VLOOKUP($AE38,Mannschaftsteil,2,FALSE)),0)+IF(OR($O$4="Liga&amp;Friendly",$O$4="nur Friendly"),INDEX(Optionen,2,1+VLOOKUP($AE38,Mannschaftsteil,2,FALSE)),0)))-0.4)))/200*(AG38+'OFM-Transfer'!$Q$4+(35-Spieltag)*(IF(OR($O$4="Liga&amp;Friendly",$O$4="nur Liga"),INDEX(Optionen,1,1+VLOOKUP($AE38,Mannschaftsteil,2,FALSE)),0)+IF(OR($O$4="Liga&amp;Friendly",$O$4="nur Friendly"),INDEX(Optionen,2,1+VLOOKUP($AE38,Mannschaftsteil,2,FALSE)),0))),"")</f>
        <v>#VALUE!</v>
      </c>
      <c r="AR38" s="149">
        <f t="shared" si="12"/>
      </c>
      <c r="AS38" s="157" t="e">
        <f>IF(AND(AF38&gt;0,AR38&gt;=$P$4),INDEX(Transferwert!$A:$XFD,INT(AR38)+1,VLOOKUP(AE38,Offsets,2,FALSE)+AF38+1-17)-AK38-(34-$Y$4)*VLOOKUP(FLOOR($AJ38,1),Gehaltsstruktur,2),"")</f>
        <v>#VALUE!</v>
      </c>
      <c r="AT38" s="83" t="e">
        <f t="shared" si="0"/>
        <v>#VALUE!</v>
      </c>
      <c r="AU38" s="83" t="e">
        <f t="shared" si="1"/>
        <v>#VALUE!</v>
      </c>
      <c r="AV38" s="151">
        <f ca="1">IF($X$43=INFO("Version"),58,"")</f>
      </c>
      <c r="AW38" s="158" t="e">
        <f>IF(AND(AF38&gt;0,AS38&gt;0,AR38&gt;='OFM-Transfer'!$P$4),ROUND(MIN(AS38/3,MAX(0.1*AK38,1.2*(AS38-MAX(Q39:Q46))))+AK38,0-3),"")</f>
        <v>#VALUE!</v>
      </c>
      <c r="AY38" s="110" t="e">
        <f t="shared" si="17"/>
        <v>#NUM!</v>
      </c>
    </row>
    <row r="39" spans="2:26" ht="12.75">
      <c r="B39" s="159"/>
      <c r="C39" s="160"/>
      <c r="D39" s="161"/>
      <c r="E39" s="56"/>
      <c r="F39" s="56"/>
      <c r="G39" s="57"/>
      <c r="H39" s="58"/>
      <c r="I39" s="59"/>
      <c r="J39" s="162"/>
      <c r="K39" s="163"/>
      <c r="L39" s="163"/>
      <c r="M39" s="59"/>
      <c r="N39" s="60"/>
      <c r="O39" s="57"/>
      <c r="P39" s="164"/>
      <c r="Q39" s="165"/>
      <c r="R39" s="165"/>
      <c r="S39" s="165"/>
      <c r="T39" s="63"/>
      <c r="U39" s="59"/>
      <c r="X39" s="109"/>
      <c r="Y39" s="109"/>
      <c r="Z39" s="17"/>
    </row>
    <row r="40" spans="2:26" ht="12.75">
      <c r="B40" s="159"/>
      <c r="C40" s="160"/>
      <c r="D40" s="161"/>
      <c r="E40" s="56"/>
      <c r="F40" s="56"/>
      <c r="G40" s="57"/>
      <c r="H40" s="58"/>
      <c r="I40" s="59"/>
      <c r="J40" s="162"/>
      <c r="K40" s="163"/>
      <c r="L40" s="163"/>
      <c r="M40" s="59"/>
      <c r="N40" s="60"/>
      <c r="O40" s="57"/>
      <c r="P40" s="164"/>
      <c r="Q40" s="165"/>
      <c r="R40" s="165"/>
      <c r="S40" s="165"/>
      <c r="T40" s="166"/>
      <c r="U40" s="59"/>
      <c r="X40" s="109"/>
      <c r="Y40" s="109" t="s">
        <v>128</v>
      </c>
      <c r="Z40" s="17" t="s">
        <v>129</v>
      </c>
    </row>
    <row r="41" spans="2:27" ht="12.75">
      <c r="B41" s="159"/>
      <c r="C41" s="160"/>
      <c r="D41" s="161"/>
      <c r="E41" s="56"/>
      <c r="F41" s="56"/>
      <c r="G41" s="57"/>
      <c r="H41" s="58"/>
      <c r="I41" s="59"/>
      <c r="J41" s="162"/>
      <c r="K41" s="163"/>
      <c r="L41" s="163"/>
      <c r="M41" s="59"/>
      <c r="N41" s="60"/>
      <c r="O41" s="57"/>
      <c r="P41" s="164"/>
      <c r="Q41" s="165"/>
      <c r="R41" s="165"/>
      <c r="S41" s="165"/>
      <c r="T41" s="166"/>
      <c r="U41" s="59"/>
      <c r="X41" s="109"/>
      <c r="Y41" s="343"/>
      <c r="Z41" s="344">
        <v>0.6007295138915651</v>
      </c>
      <c r="AA41" s="341">
        <f ca="1">NOW()-FLOOR(TODAY(),1)</f>
        <v>0.7931575231486931</v>
      </c>
    </row>
    <row r="42" spans="2:26" ht="12.75">
      <c r="B42" s="159"/>
      <c r="C42" s="160"/>
      <c r="D42" s="161"/>
      <c r="E42" s="56"/>
      <c r="F42" s="56"/>
      <c r="G42" s="57"/>
      <c r="H42" s="58"/>
      <c r="I42" s="59"/>
      <c r="J42" s="162"/>
      <c r="K42" s="163"/>
      <c r="L42" s="163"/>
      <c r="M42" s="59"/>
      <c r="N42" s="60"/>
      <c r="O42" s="57"/>
      <c r="P42" s="164"/>
      <c r="Q42" s="165"/>
      <c r="R42" s="165"/>
      <c r="S42" s="165"/>
      <c r="T42" s="166"/>
      <c r="U42" s="59"/>
      <c r="V42" s="55"/>
      <c r="W42" s="62"/>
      <c r="X42" s="339" t="s">
        <v>127</v>
      </c>
      <c r="Y42" s="167" t="s">
        <v>50</v>
      </c>
      <c r="Z42" s="56" t="s">
        <v>68</v>
      </c>
    </row>
    <row r="43" spans="2:27" ht="12.75">
      <c r="B43" s="168"/>
      <c r="C43" s="56"/>
      <c r="D43" s="56"/>
      <c r="E43" s="56"/>
      <c r="F43" s="57"/>
      <c r="G43" s="58"/>
      <c r="H43" s="59"/>
      <c r="I43" s="59"/>
      <c r="J43" s="56"/>
      <c r="K43" s="169"/>
      <c r="L43" s="169"/>
      <c r="M43" s="56"/>
      <c r="N43" s="57"/>
      <c r="O43" s="55"/>
      <c r="P43" s="165"/>
      <c r="Q43" s="55"/>
      <c r="R43" s="55"/>
      <c r="S43" s="55"/>
      <c r="T43" s="55"/>
      <c r="U43" s="55"/>
      <c r="V43" s="55"/>
      <c r="W43" s="62"/>
      <c r="X43" s="170">
        <f ca="1">IF(AND(Y41&lt;Y43,TODAY()&gt;=Z43,TODAY()&gt;=Y41-1,TODAY()&lt;Y41+3),INFO("Version"),0)</f>
        <v>0</v>
      </c>
      <c r="Y43" s="171">
        <v>40695</v>
      </c>
      <c r="Z43" s="340">
        <v>40666</v>
      </c>
      <c r="AA43" s="55"/>
    </row>
    <row r="44" spans="3:25" s="55" customFormat="1" ht="12.75">
      <c r="C44" s="56"/>
      <c r="D44" s="56"/>
      <c r="E44" s="56"/>
      <c r="F44" s="57"/>
      <c r="G44" s="58"/>
      <c r="H44" s="59"/>
      <c r="I44" s="59"/>
      <c r="J44" s="56"/>
      <c r="K44" s="169"/>
      <c r="L44" s="169"/>
      <c r="M44" s="56"/>
      <c r="N44" s="57"/>
      <c r="O44" s="164"/>
      <c r="P44" s="165"/>
      <c r="W44" s="62"/>
      <c r="X44" s="342">
        <f ca="1">IF(X43=INFO("Version"),INFO("GesamtSpeich"),0)</f>
        <v>0</v>
      </c>
      <c r="Y44" s="62"/>
    </row>
    <row r="45" spans="5:25" s="55" customFormat="1" ht="12.75">
      <c r="E45" s="56"/>
      <c r="F45" s="56"/>
      <c r="G45" s="56"/>
      <c r="H45" s="56"/>
      <c r="I45" s="56"/>
      <c r="J45" s="56"/>
      <c r="W45" s="62"/>
      <c r="X45" s="62"/>
      <c r="Y45" s="62"/>
    </row>
  </sheetData>
  <sheetProtection password="C703" sheet="1" objects="1" scenarios="1" selectLockedCells="1"/>
  <conditionalFormatting sqref="O44">
    <cfRule type="cellIs" priority="1" dxfId="0" operator="lessThan" stopIfTrue="1">
      <formula>'OFM-Transfer'!$B$8</formula>
    </cfRule>
  </conditionalFormatting>
  <conditionalFormatting sqref="P9:P42 AR9:AR38">
    <cfRule type="cellIs" priority="2" dxfId="0" operator="lessThan" stopIfTrue="1">
      <formula>'OFM-Transfer'!$P$4</formula>
    </cfRule>
  </conditionalFormatting>
  <dataValidations count="5">
    <dataValidation type="list" allowBlank="1" showErrorMessage="1" sqref="M4">
      <formula1>",1,2,3,4,5,6,7,8,9,10,11,12,13,14,15,16,17,18,19,20,21,22,23,24,25,26,27,28,29,30,31,32,33,34"</formula1>
      <formula2>0</formula2>
    </dataValidation>
    <dataValidation type="list" allowBlank="1" showErrorMessage="1" sqref="O4">
      <formula1>"Liga&amp;Friendly,nur Liga,nur Friendly,nur Training"</formula1>
      <formula2>0</formula2>
    </dataValidation>
    <dataValidation type="list" allowBlank="1" showErrorMessage="1" sqref="P4">
      <formula1>"1,2,3,4,5,6,7,8,9,10,11,12,13,14,15,16,17,18,19,20,21"</formula1>
      <formula2>0</formula2>
    </dataValidation>
    <dataValidation type="whole" allowBlank="1" showErrorMessage="1" sqref="Q4 U4">
      <formula1>0</formula1>
      <formula2>1000</formula2>
    </dataValidation>
    <dataValidation type="list" allowBlank="1" showErrorMessage="1" sqref="K4">
      <formula1>"fairer Preis,Gewinn"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B2:O50"/>
  <sheetViews>
    <sheetView showGridLines="0" workbookViewId="0" topLeftCell="A1">
      <selection activeCell="C5" sqref="C5"/>
    </sheetView>
  </sheetViews>
  <sheetFormatPr defaultColWidth="11.421875" defaultRowHeight="12.75"/>
  <cols>
    <col min="1" max="1" width="2.8515625" style="0" customWidth="1"/>
    <col min="2" max="2" width="42.421875" style="0" customWidth="1"/>
    <col min="3" max="10" width="12.8515625" style="0" customWidth="1"/>
    <col min="11" max="11" width="3.00390625" style="0" customWidth="1"/>
  </cols>
  <sheetData>
    <row r="2" spans="2:11" ht="12.75">
      <c r="B2" s="172"/>
      <c r="C2" s="172"/>
      <c r="D2" s="173"/>
      <c r="E2" s="172"/>
      <c r="F2" s="173"/>
      <c r="G2" s="172"/>
      <c r="H2" s="173"/>
      <c r="I2" s="174"/>
      <c r="J2" s="174"/>
      <c r="K2" s="173"/>
    </row>
    <row r="3" spans="2:11" ht="12.75">
      <c r="B3" s="175"/>
      <c r="C3" s="352" t="s">
        <v>51</v>
      </c>
      <c r="D3" s="352"/>
      <c r="E3" s="352" t="s">
        <v>52</v>
      </c>
      <c r="F3" s="352"/>
      <c r="G3" s="352" t="s">
        <v>53</v>
      </c>
      <c r="H3" s="352"/>
      <c r="I3" s="353" t="s">
        <v>54</v>
      </c>
      <c r="J3" s="353"/>
      <c r="K3" s="176"/>
    </row>
    <row r="4" spans="2:15" ht="12.75">
      <c r="B4" s="175"/>
      <c r="C4" s="41" t="s">
        <v>55</v>
      </c>
      <c r="D4" s="177" t="s">
        <v>56</v>
      </c>
      <c r="E4" s="41" t="s">
        <v>55</v>
      </c>
      <c r="F4" s="177" t="s">
        <v>56</v>
      </c>
      <c r="G4" s="41" t="s">
        <v>55</v>
      </c>
      <c r="H4" s="177" t="s">
        <v>56</v>
      </c>
      <c r="I4" s="41" t="s">
        <v>55</v>
      </c>
      <c r="J4" s="37" t="s">
        <v>56</v>
      </c>
      <c r="K4" s="176"/>
      <c r="L4" s="178"/>
      <c r="M4" s="55"/>
      <c r="N4" s="55"/>
      <c r="O4" s="55"/>
    </row>
    <row r="5" spans="2:15" ht="12.75">
      <c r="B5" s="179" t="s">
        <v>57</v>
      </c>
      <c r="C5" s="180">
        <v>4.5</v>
      </c>
      <c r="D5" s="181"/>
      <c r="E5" s="180">
        <v>3</v>
      </c>
      <c r="F5" s="181"/>
      <c r="G5" s="180">
        <v>4</v>
      </c>
      <c r="H5" s="181"/>
      <c r="I5" s="182">
        <v>3</v>
      </c>
      <c r="J5" s="183"/>
      <c r="K5" s="176"/>
      <c r="L5" s="30"/>
      <c r="M5" s="184"/>
      <c r="N5" s="184"/>
      <c r="O5" s="56"/>
    </row>
    <row r="6" spans="2:15" ht="12.75">
      <c r="B6" s="179" t="s">
        <v>58</v>
      </c>
      <c r="C6" s="180">
        <v>4</v>
      </c>
      <c r="D6" s="181"/>
      <c r="E6" s="180">
        <v>2</v>
      </c>
      <c r="F6" s="181"/>
      <c r="G6" s="180">
        <v>3</v>
      </c>
      <c r="H6" s="181"/>
      <c r="I6" s="182">
        <v>2</v>
      </c>
      <c r="J6" s="185"/>
      <c r="K6" s="176"/>
      <c r="L6" s="30"/>
      <c r="M6" s="184"/>
      <c r="N6" s="184"/>
      <c r="O6" s="56"/>
    </row>
    <row r="7" spans="2:15" ht="12.75">
      <c r="B7" s="179" t="s">
        <v>59</v>
      </c>
      <c r="C7" s="180">
        <v>10</v>
      </c>
      <c r="D7" s="186">
        <v>5</v>
      </c>
      <c r="E7" s="180">
        <v>12</v>
      </c>
      <c r="F7" s="187">
        <f>D7</f>
        <v>5</v>
      </c>
      <c r="G7" s="180">
        <v>17</v>
      </c>
      <c r="H7" s="187">
        <f>F7</f>
        <v>5</v>
      </c>
      <c r="I7" s="182">
        <v>22</v>
      </c>
      <c r="J7" s="188">
        <f>H7</f>
        <v>5</v>
      </c>
      <c r="K7" s="176"/>
      <c r="L7" s="30"/>
      <c r="M7" s="184"/>
      <c r="N7" s="184"/>
      <c r="O7" s="56"/>
    </row>
    <row r="8" spans="2:15" ht="12.75">
      <c r="B8" s="179" t="s">
        <v>60</v>
      </c>
      <c r="C8" s="189">
        <f aca="true" t="shared" si="0" ref="C8:J8">AVERAGE(C7,C9)</f>
        <v>12</v>
      </c>
      <c r="D8" s="190">
        <f t="shared" si="0"/>
        <v>6</v>
      </c>
      <c r="E8" s="189">
        <f t="shared" si="0"/>
        <v>13</v>
      </c>
      <c r="F8" s="190">
        <f t="shared" si="0"/>
        <v>6</v>
      </c>
      <c r="G8" s="189">
        <f t="shared" si="0"/>
        <v>19</v>
      </c>
      <c r="H8" s="190">
        <f t="shared" si="0"/>
        <v>6</v>
      </c>
      <c r="I8" s="191">
        <f t="shared" si="0"/>
        <v>25</v>
      </c>
      <c r="J8" s="191">
        <f t="shared" si="0"/>
        <v>6</v>
      </c>
      <c r="K8" s="176"/>
      <c r="L8" s="30"/>
      <c r="M8" s="184"/>
      <c r="N8" s="184"/>
      <c r="O8" s="56"/>
    </row>
    <row r="9" spans="2:15" ht="12.75">
      <c r="B9" s="179" t="s">
        <v>61</v>
      </c>
      <c r="C9" s="180">
        <v>14</v>
      </c>
      <c r="D9" s="186">
        <v>7</v>
      </c>
      <c r="E9" s="180">
        <v>14</v>
      </c>
      <c r="F9" s="187">
        <f>D9</f>
        <v>7</v>
      </c>
      <c r="G9" s="180">
        <v>21</v>
      </c>
      <c r="H9" s="187">
        <f>F9</f>
        <v>7</v>
      </c>
      <c r="I9" s="182">
        <v>28</v>
      </c>
      <c r="J9" s="188">
        <f>H9</f>
        <v>7</v>
      </c>
      <c r="K9" s="176"/>
      <c r="L9" s="192"/>
      <c r="M9" s="23"/>
      <c r="N9" s="23"/>
      <c r="O9" s="56"/>
    </row>
    <row r="10" spans="2:15" ht="12.75">
      <c r="B10" s="193"/>
      <c r="C10" s="193"/>
      <c r="D10" s="50"/>
      <c r="E10" s="193"/>
      <c r="F10" s="50"/>
      <c r="G10" s="193"/>
      <c r="H10" s="50"/>
      <c r="I10" s="49"/>
      <c r="J10" s="49"/>
      <c r="K10" s="50"/>
      <c r="L10" s="192"/>
      <c r="M10" s="56"/>
      <c r="N10" s="56"/>
      <c r="O10" s="55"/>
    </row>
    <row r="11" spans="12:15" ht="12.75">
      <c r="L11" s="192"/>
      <c r="M11" s="56"/>
      <c r="N11" s="56"/>
      <c r="O11" s="55"/>
    </row>
    <row r="12" spans="2:15" ht="12.75">
      <c r="B12" s="194" t="s">
        <v>62</v>
      </c>
      <c r="L12" s="192"/>
      <c r="M12" s="23"/>
      <c r="N12" s="23"/>
      <c r="O12" s="56"/>
    </row>
    <row r="13" spans="2:15" ht="12.75">
      <c r="B13" s="195"/>
      <c r="C13" s="195"/>
      <c r="D13" s="196"/>
      <c r="E13" s="197"/>
      <c r="F13" s="197"/>
      <c r="G13" s="195"/>
      <c r="H13" s="196"/>
      <c r="I13" s="197"/>
      <c r="J13" s="197"/>
      <c r="K13" s="196"/>
      <c r="L13" s="30"/>
      <c r="M13" s="184"/>
      <c r="N13" s="184"/>
      <c r="O13" s="55"/>
    </row>
    <row r="14" spans="2:15" ht="12.75">
      <c r="B14" s="51"/>
      <c r="C14" s="354" t="s">
        <v>51</v>
      </c>
      <c r="D14" s="354"/>
      <c r="E14" s="355" t="s">
        <v>52</v>
      </c>
      <c r="F14" s="355"/>
      <c r="G14" s="354" t="s">
        <v>53</v>
      </c>
      <c r="H14" s="354"/>
      <c r="I14" s="355" t="s">
        <v>54</v>
      </c>
      <c r="J14" s="355"/>
      <c r="K14" s="198"/>
      <c r="L14" s="192"/>
      <c r="M14" s="56"/>
      <c r="N14" s="57"/>
      <c r="O14" s="55"/>
    </row>
    <row r="15" spans="2:15" ht="12.75">
      <c r="B15" s="51"/>
      <c r="C15" s="199" t="s">
        <v>63</v>
      </c>
      <c r="D15" s="200" t="s">
        <v>64</v>
      </c>
      <c r="E15" s="23" t="s">
        <v>63</v>
      </c>
      <c r="F15" s="23" t="s">
        <v>64</v>
      </c>
      <c r="G15" s="199" t="s">
        <v>63</v>
      </c>
      <c r="H15" s="200" t="s">
        <v>64</v>
      </c>
      <c r="I15" s="23" t="s">
        <v>63</v>
      </c>
      <c r="J15" s="23" t="s">
        <v>64</v>
      </c>
      <c r="K15" s="198"/>
      <c r="L15" s="192"/>
      <c r="M15" s="184"/>
      <c r="N15" s="57"/>
      <c r="O15" s="55"/>
    </row>
    <row r="16" spans="2:15" ht="12.75">
      <c r="B16" s="201" t="s">
        <v>57</v>
      </c>
      <c r="C16" s="202">
        <v>4.5</v>
      </c>
      <c r="D16" s="203"/>
      <c r="E16" s="204">
        <v>3</v>
      </c>
      <c r="F16" s="205"/>
      <c r="G16" s="202">
        <v>4</v>
      </c>
      <c r="H16" s="203"/>
      <c r="I16" s="204">
        <v>3</v>
      </c>
      <c r="J16" s="205"/>
      <c r="K16" s="198"/>
      <c r="L16" s="192"/>
      <c r="M16" s="56"/>
      <c r="N16" s="57"/>
      <c r="O16" s="55"/>
    </row>
    <row r="17" spans="2:15" ht="12.75">
      <c r="B17" s="201" t="s">
        <v>58</v>
      </c>
      <c r="C17" s="202">
        <v>4</v>
      </c>
      <c r="D17" s="206"/>
      <c r="E17" s="204">
        <v>2</v>
      </c>
      <c r="F17" s="207"/>
      <c r="G17" s="202">
        <v>3</v>
      </c>
      <c r="H17" s="206"/>
      <c r="I17" s="204">
        <v>2</v>
      </c>
      <c r="J17" s="207"/>
      <c r="K17" s="198"/>
      <c r="L17" s="192"/>
      <c r="M17" s="56"/>
      <c r="N17" s="57"/>
      <c r="O17" s="55"/>
    </row>
    <row r="18" spans="2:15" ht="12.75">
      <c r="B18" s="201" t="s">
        <v>59</v>
      </c>
      <c r="C18" s="202">
        <v>10</v>
      </c>
      <c r="D18" s="208">
        <v>5</v>
      </c>
      <c r="E18" s="204">
        <v>12</v>
      </c>
      <c r="F18" s="209">
        <f>D18</f>
        <v>5</v>
      </c>
      <c r="G18" s="202">
        <v>17</v>
      </c>
      <c r="H18" s="208">
        <f>F18</f>
        <v>5</v>
      </c>
      <c r="I18" s="204">
        <v>22</v>
      </c>
      <c r="J18" s="210">
        <f>H18</f>
        <v>5</v>
      </c>
      <c r="K18" s="198"/>
      <c r="L18" s="55"/>
      <c r="M18" s="55"/>
      <c r="N18" s="55"/>
      <c r="O18" s="55"/>
    </row>
    <row r="19" spans="2:11" ht="12.75">
      <c r="B19" s="201" t="s">
        <v>60</v>
      </c>
      <c r="C19" s="202">
        <f aca="true" t="shared" si="1" ref="C19:J19">AVERAGE(C18,C20)</f>
        <v>12</v>
      </c>
      <c r="D19" s="211">
        <f t="shared" si="1"/>
        <v>6</v>
      </c>
      <c r="E19" s="204">
        <f t="shared" si="1"/>
        <v>13</v>
      </c>
      <c r="F19" s="212">
        <f t="shared" si="1"/>
        <v>6</v>
      </c>
      <c r="G19" s="202">
        <f t="shared" si="1"/>
        <v>19</v>
      </c>
      <c r="H19" s="211">
        <f t="shared" si="1"/>
        <v>6</v>
      </c>
      <c r="I19" s="204">
        <f t="shared" si="1"/>
        <v>25</v>
      </c>
      <c r="J19" s="204">
        <f t="shared" si="1"/>
        <v>6</v>
      </c>
      <c r="K19" s="198"/>
    </row>
    <row r="20" spans="2:11" ht="12.75">
      <c r="B20" s="201" t="s">
        <v>61</v>
      </c>
      <c r="C20" s="202">
        <v>14</v>
      </c>
      <c r="D20" s="213">
        <v>7</v>
      </c>
      <c r="E20" s="204">
        <v>14</v>
      </c>
      <c r="F20" s="214">
        <f>D20</f>
        <v>7</v>
      </c>
      <c r="G20" s="202">
        <v>21</v>
      </c>
      <c r="H20" s="213">
        <f>F20</f>
        <v>7</v>
      </c>
      <c r="I20" s="204">
        <v>28</v>
      </c>
      <c r="J20" s="210">
        <f>H20</f>
        <v>7</v>
      </c>
      <c r="K20" s="198"/>
    </row>
    <row r="21" spans="2:11" ht="12.75">
      <c r="B21" s="215"/>
      <c r="C21" s="215"/>
      <c r="D21" s="216"/>
      <c r="E21" s="217"/>
      <c r="F21" s="217"/>
      <c r="G21" s="215"/>
      <c r="H21" s="216"/>
      <c r="I21" s="217"/>
      <c r="J21" s="217"/>
      <c r="K21" s="216"/>
    </row>
    <row r="23" ht="0.75" customHeight="1"/>
    <row r="24" ht="10.5" customHeight="1" hidden="1"/>
    <row r="25" spans="2:10" s="18" customFormat="1" ht="10.5" customHeight="1" hidden="1">
      <c r="B25" s="218" t="s">
        <v>33</v>
      </c>
      <c r="C25" s="219"/>
      <c r="D25" s="220" t="s">
        <v>34</v>
      </c>
      <c r="F25" s="218" t="s">
        <v>34</v>
      </c>
      <c r="G25" s="218" t="s">
        <v>65</v>
      </c>
      <c r="I25" s="221" t="s">
        <v>31</v>
      </c>
      <c r="J25" s="220" t="s">
        <v>66</v>
      </c>
    </row>
    <row r="26" spans="2:10" s="18" customFormat="1" ht="10.5" customHeight="1" hidden="1">
      <c r="B26" s="222">
        <v>0</v>
      </c>
      <c r="C26" s="223"/>
      <c r="D26" s="224">
        <v>1</v>
      </c>
      <c r="F26" s="18">
        <v>1</v>
      </c>
      <c r="G26" s="225">
        <v>375</v>
      </c>
      <c r="I26" s="18" t="s">
        <v>67</v>
      </c>
      <c r="J26" s="226">
        <v>0</v>
      </c>
    </row>
    <row r="27" spans="2:10" s="18" customFormat="1" ht="10.5" customHeight="1" hidden="1">
      <c r="B27" s="227">
        <v>222</v>
      </c>
      <c r="D27" s="170">
        <v>2</v>
      </c>
      <c r="F27" s="18">
        <v>2</v>
      </c>
      <c r="G27" s="225">
        <v>497</v>
      </c>
      <c r="I27" s="18" t="s">
        <v>68</v>
      </c>
      <c r="J27" s="226">
        <v>2</v>
      </c>
    </row>
    <row r="28" spans="2:10" s="18" customFormat="1" ht="10.5" customHeight="1" hidden="1">
      <c r="B28" s="227">
        <v>336</v>
      </c>
      <c r="D28" s="170">
        <f aca="true" t="shared" si="2" ref="D28:D47">D27+1</f>
        <v>3</v>
      </c>
      <c r="F28" s="18">
        <v>3</v>
      </c>
      <c r="G28" s="225">
        <v>630</v>
      </c>
      <c r="I28" s="18" t="s">
        <v>69</v>
      </c>
      <c r="J28" s="226">
        <v>2</v>
      </c>
    </row>
    <row r="29" spans="2:10" s="18" customFormat="1" ht="10.5" customHeight="1" hidden="1">
      <c r="B29" s="227">
        <v>462</v>
      </c>
      <c r="D29" s="170">
        <f t="shared" si="2"/>
        <v>4</v>
      </c>
      <c r="F29" s="18">
        <v>4</v>
      </c>
      <c r="G29" s="225">
        <v>815</v>
      </c>
      <c r="I29" s="18" t="s">
        <v>70</v>
      </c>
      <c r="J29" s="226">
        <v>2</v>
      </c>
    </row>
    <row r="30" spans="2:10" s="18" customFormat="1" ht="10.5" customHeight="1" hidden="1">
      <c r="B30" s="227">
        <v>651</v>
      </c>
      <c r="D30" s="170">
        <f t="shared" si="2"/>
        <v>5</v>
      </c>
      <c r="F30" s="18">
        <v>5</v>
      </c>
      <c r="G30" s="225">
        <v>1078</v>
      </c>
      <c r="I30" s="18" t="s">
        <v>71</v>
      </c>
      <c r="J30" s="226">
        <v>2</v>
      </c>
    </row>
    <row r="31" spans="2:10" s="18" customFormat="1" ht="10.5" customHeight="1" hidden="1">
      <c r="B31" s="227">
        <v>969</v>
      </c>
      <c r="D31" s="170">
        <f t="shared" si="2"/>
        <v>6</v>
      </c>
      <c r="F31" s="18">
        <v>6</v>
      </c>
      <c r="G31" s="225">
        <v>1586</v>
      </c>
      <c r="I31" s="18" t="s">
        <v>72</v>
      </c>
      <c r="J31" s="226">
        <v>2</v>
      </c>
    </row>
    <row r="32" spans="2:10" s="18" customFormat="1" ht="10.5" customHeight="1" hidden="1">
      <c r="B32" s="227">
        <v>1410</v>
      </c>
      <c r="D32" s="170">
        <f t="shared" si="2"/>
        <v>7</v>
      </c>
      <c r="F32" s="18">
        <v>7</v>
      </c>
      <c r="G32" s="225">
        <v>2232</v>
      </c>
      <c r="I32" s="18" t="s">
        <v>73</v>
      </c>
      <c r="J32" s="226">
        <v>4</v>
      </c>
    </row>
    <row r="33" spans="2:10" s="18" customFormat="1" ht="10.5" customHeight="1" hidden="1">
      <c r="B33" s="227">
        <v>1968</v>
      </c>
      <c r="D33" s="170">
        <f t="shared" si="2"/>
        <v>8</v>
      </c>
      <c r="F33" s="18">
        <v>8</v>
      </c>
      <c r="G33" s="225">
        <v>3292</v>
      </c>
      <c r="I33" s="18" t="s">
        <v>74</v>
      </c>
      <c r="J33" s="226">
        <v>4</v>
      </c>
    </row>
    <row r="34" spans="2:10" s="18" customFormat="1" ht="10.5" customHeight="1" hidden="1">
      <c r="B34" s="227">
        <v>2641</v>
      </c>
      <c r="D34" s="170">
        <f t="shared" si="2"/>
        <v>9</v>
      </c>
      <c r="F34" s="18">
        <v>9</v>
      </c>
      <c r="G34" s="225">
        <v>4478</v>
      </c>
      <c r="I34" s="18" t="s">
        <v>75</v>
      </c>
      <c r="J34" s="226">
        <v>4</v>
      </c>
    </row>
    <row r="35" spans="2:10" s="18" customFormat="1" ht="10.5" customHeight="1" hidden="1">
      <c r="B35" s="225">
        <v>3421</v>
      </c>
      <c r="D35" s="170">
        <f t="shared" si="2"/>
        <v>10</v>
      </c>
      <c r="F35" s="18">
        <v>10</v>
      </c>
      <c r="G35" s="225">
        <v>6647</v>
      </c>
      <c r="I35" s="18" t="s">
        <v>76</v>
      </c>
      <c r="J35" s="226">
        <v>4</v>
      </c>
    </row>
    <row r="36" spans="2:10" s="18" customFormat="1" ht="10.5" customHeight="1" hidden="1">
      <c r="B36" s="225">
        <v>4257</v>
      </c>
      <c r="D36" s="170">
        <f t="shared" si="2"/>
        <v>11</v>
      </c>
      <c r="F36" s="18">
        <v>11</v>
      </c>
      <c r="G36" s="225">
        <v>9580</v>
      </c>
      <c r="I36" s="18" t="s">
        <v>77</v>
      </c>
      <c r="J36" s="226">
        <v>4</v>
      </c>
    </row>
    <row r="37" spans="2:10" s="18" customFormat="1" ht="10.5" customHeight="1" hidden="1">
      <c r="B37" s="225">
        <v>5082</v>
      </c>
      <c r="D37" s="170">
        <f t="shared" si="2"/>
        <v>12</v>
      </c>
      <c r="F37" s="18">
        <v>12</v>
      </c>
      <c r="G37" s="225">
        <v>14354</v>
      </c>
      <c r="I37" s="18" t="s">
        <v>78</v>
      </c>
      <c r="J37" s="226">
        <v>6</v>
      </c>
    </row>
    <row r="38" spans="2:10" s="18" customFormat="1" ht="10.5" customHeight="1" hidden="1">
      <c r="B38" s="225">
        <v>5886</v>
      </c>
      <c r="D38" s="170">
        <f t="shared" si="2"/>
        <v>13</v>
      </c>
      <c r="F38" s="18">
        <v>13</v>
      </c>
      <c r="G38" s="225">
        <v>21679</v>
      </c>
      <c r="I38" s="18" t="s">
        <v>79</v>
      </c>
      <c r="J38" s="226">
        <v>6</v>
      </c>
    </row>
    <row r="39" spans="2:10" s="18" customFormat="1" ht="10.5" customHeight="1" hidden="1">
      <c r="B39" s="225">
        <v>6713</v>
      </c>
      <c r="D39" s="170">
        <f t="shared" si="2"/>
        <v>14</v>
      </c>
      <c r="F39" s="18">
        <v>14</v>
      </c>
      <c r="G39" s="225">
        <v>32285</v>
      </c>
      <c r="I39" s="18" t="s">
        <v>80</v>
      </c>
      <c r="J39" s="226">
        <v>6</v>
      </c>
    </row>
    <row r="40" spans="2:7" s="18" customFormat="1" ht="10.5" customHeight="1" hidden="1">
      <c r="B40" s="225">
        <v>7599</v>
      </c>
      <c r="D40" s="170">
        <f t="shared" si="2"/>
        <v>15</v>
      </c>
      <c r="F40" s="18">
        <v>15</v>
      </c>
      <c r="G40" s="225">
        <v>44003</v>
      </c>
    </row>
    <row r="41" spans="2:7" s="18" customFormat="1" ht="10.5" customHeight="1" hidden="1">
      <c r="B41" s="225">
        <v>8568</v>
      </c>
      <c r="D41" s="170">
        <f t="shared" si="2"/>
        <v>16</v>
      </c>
      <c r="F41" s="18">
        <v>16</v>
      </c>
      <c r="G41" s="225">
        <v>63487</v>
      </c>
    </row>
    <row r="42" spans="2:7" s="18" customFormat="1" ht="10.5" customHeight="1" hidden="1">
      <c r="B42" s="225">
        <v>9599</v>
      </c>
      <c r="D42" s="170">
        <f t="shared" si="2"/>
        <v>17</v>
      </c>
      <c r="F42" s="18">
        <v>17</v>
      </c>
      <c r="G42" s="225">
        <v>82761</v>
      </c>
    </row>
    <row r="43" spans="2:7" s="18" customFormat="1" ht="10.5" customHeight="1" hidden="1">
      <c r="B43" s="225">
        <v>10619</v>
      </c>
      <c r="D43" s="170">
        <f t="shared" si="2"/>
        <v>18</v>
      </c>
      <c r="F43" s="18">
        <v>18</v>
      </c>
      <c r="G43" s="225">
        <v>99559</v>
      </c>
    </row>
    <row r="44" spans="2:7" s="18" customFormat="1" ht="10.5" customHeight="1" hidden="1">
      <c r="B44" s="225">
        <v>11592</v>
      </c>
      <c r="D44" s="170">
        <f t="shared" si="2"/>
        <v>19</v>
      </c>
      <c r="F44" s="18">
        <v>19</v>
      </c>
      <c r="G44" s="225">
        <v>116214</v>
      </c>
    </row>
    <row r="45" spans="2:7" s="18" customFormat="1" ht="10.5" customHeight="1" hidden="1">
      <c r="B45" s="225">
        <v>12552</v>
      </c>
      <c r="D45" s="170">
        <f t="shared" si="2"/>
        <v>20</v>
      </c>
      <c r="F45" s="18">
        <v>20</v>
      </c>
      <c r="G45" s="225">
        <v>128541</v>
      </c>
    </row>
    <row r="46" spans="2:7" s="18" customFormat="1" ht="10.5" customHeight="1" hidden="1">
      <c r="B46" s="225">
        <v>13416</v>
      </c>
      <c r="D46" s="170">
        <f t="shared" si="2"/>
        <v>21</v>
      </c>
      <c r="F46" s="18">
        <v>21</v>
      </c>
      <c r="G46" s="225">
        <v>137624</v>
      </c>
    </row>
    <row r="47" spans="2:7" s="18" customFormat="1" ht="10.5" customHeight="1" hidden="1">
      <c r="B47" s="225">
        <v>14187</v>
      </c>
      <c r="D47" s="170">
        <f t="shared" si="2"/>
        <v>22</v>
      </c>
      <c r="F47" s="18">
        <v>22</v>
      </c>
      <c r="G47" s="225">
        <v>144915</v>
      </c>
    </row>
    <row r="48" spans="6:7" s="18" customFormat="1" ht="10.5" customHeight="1" hidden="1">
      <c r="F48" s="18">
        <v>23</v>
      </c>
      <c r="G48" s="225">
        <v>150741</v>
      </c>
    </row>
    <row r="49" spans="6:7" s="18" customFormat="1" ht="10.5" customHeight="1" hidden="1">
      <c r="F49" s="18">
        <v>24</v>
      </c>
      <c r="G49" s="225">
        <v>156107</v>
      </c>
    </row>
    <row r="50" spans="2:4" ht="12.75" customHeight="1">
      <c r="B50" s="18"/>
      <c r="C50" s="18"/>
      <c r="D50" s="18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 password="C703" sheet="1" objects="1" scenarios="1" selectLockedCells="1"/>
  <mergeCells count="8">
    <mergeCell ref="C14:D14"/>
    <mergeCell ref="E14:F14"/>
    <mergeCell ref="G14:H14"/>
    <mergeCell ref="I14:J14"/>
    <mergeCell ref="C3:D3"/>
    <mergeCell ref="E3:F3"/>
    <mergeCell ref="G3:H3"/>
    <mergeCell ref="I3:J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A1"/>
  <sheetViews>
    <sheetView showGridLines="0" showRowColHeaders="0" workbookViewId="0" topLeftCell="A1">
      <selection activeCell="F29" sqref="F29"/>
    </sheetView>
  </sheetViews>
  <sheetFormatPr defaultColWidth="11.421875" defaultRowHeight="12.75"/>
  <sheetData/>
  <sheetProtection password="C703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B2:D17"/>
  <sheetViews>
    <sheetView showGridLines="0" showRowColHeaders="0" workbookViewId="0" topLeftCell="A1">
      <selection activeCell="D13" sqref="D13"/>
    </sheetView>
  </sheetViews>
  <sheetFormatPr defaultColWidth="11.421875" defaultRowHeight="12.75"/>
  <cols>
    <col min="1" max="1" width="4.8515625" style="0" customWidth="1"/>
    <col min="3" max="3" width="3.8515625" style="0" customWidth="1"/>
    <col min="4" max="4" width="106.57421875" style="0" customWidth="1"/>
  </cols>
  <sheetData>
    <row r="2" spans="2:4" ht="18.75">
      <c r="B2" s="2">
        <v>1</v>
      </c>
      <c r="C2" s="1"/>
      <c r="D2" t="s">
        <v>93</v>
      </c>
    </row>
    <row r="3" spans="2:3" ht="12.75" customHeight="1">
      <c r="B3" s="1"/>
      <c r="C3" s="1"/>
    </row>
    <row r="5" spans="2:4" ht="18.75">
      <c r="B5" s="2">
        <v>2</v>
      </c>
      <c r="D5" t="s">
        <v>94</v>
      </c>
    </row>
    <row r="6" ht="12.75">
      <c r="D6" t="s">
        <v>123</v>
      </c>
    </row>
    <row r="7" ht="12.75">
      <c r="D7" t="s">
        <v>95</v>
      </c>
    </row>
    <row r="9" spans="2:4" ht="18.75">
      <c r="B9" s="2">
        <v>3</v>
      </c>
      <c r="D9" t="s">
        <v>96</v>
      </c>
    </row>
    <row r="10" ht="12.75">
      <c r="D10" t="s">
        <v>97</v>
      </c>
    </row>
    <row r="12" ht="12.75">
      <c r="D12" t="s">
        <v>120</v>
      </c>
    </row>
    <row r="14" ht="12.75">
      <c r="D14" t="s">
        <v>124</v>
      </c>
    </row>
    <row r="15" ht="12.75">
      <c r="D15" t="s">
        <v>125</v>
      </c>
    </row>
    <row r="16" ht="12.75">
      <c r="D16" t="s">
        <v>121</v>
      </c>
    </row>
    <row r="17" ht="12.75">
      <c r="D17" t="s">
        <v>122</v>
      </c>
    </row>
  </sheetData>
  <sheetProtection password="C703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>
    <tabColor indexed="41"/>
  </sheetPr>
  <dimension ref="A1:X256"/>
  <sheetViews>
    <sheetView showGridLines="0" workbookViewId="0" topLeftCell="A1">
      <selection activeCell="G73" sqref="G73"/>
    </sheetView>
  </sheetViews>
  <sheetFormatPr defaultColWidth="11.421875" defaultRowHeight="12.75"/>
  <cols>
    <col min="1" max="1" width="6.140625" style="0" customWidth="1"/>
    <col min="2" max="2" width="9.00390625" style="0" customWidth="1"/>
    <col min="3" max="3" width="8.28125" style="0" customWidth="1"/>
    <col min="4" max="4" width="12.7109375" style="0" customWidth="1"/>
    <col min="5" max="6" width="14.8515625" style="17" customWidth="1"/>
    <col min="7" max="7" width="8.140625" style="17" customWidth="1"/>
    <col min="8" max="8" width="10.421875" style="17" customWidth="1"/>
    <col min="9" max="9" width="14.140625" style="333" customWidth="1"/>
    <col min="10" max="10" width="10.28125" style="17" customWidth="1"/>
    <col min="11" max="11" width="16.57421875" style="17" customWidth="1"/>
    <col min="12" max="12" width="17.7109375" style="17" customWidth="1"/>
    <col min="13" max="13" width="11.28125" style="17" customWidth="1"/>
    <col min="14" max="14" width="16.57421875" style="17" customWidth="1"/>
    <col min="15" max="15" width="8.140625" style="17" customWidth="1"/>
    <col min="16" max="16" width="0.13671875" style="17" customWidth="1"/>
    <col min="17" max="19" width="0.13671875" style="0" customWidth="1"/>
    <col min="20" max="20" width="0.13671875" style="17" customWidth="1"/>
    <col min="21" max="23" width="0.13671875" style="0" customWidth="1"/>
    <col min="24" max="24" width="8.140625" style="0" customWidth="1"/>
  </cols>
  <sheetData>
    <row r="1" spans="1:15" ht="5.25" customHeight="1" thickBot="1">
      <c r="A1" s="251"/>
      <c r="B1" s="251"/>
      <c r="C1" s="251"/>
      <c r="D1" s="251"/>
      <c r="E1" s="252"/>
      <c r="F1" s="252"/>
      <c r="G1" s="252"/>
      <c r="H1" s="252"/>
      <c r="I1" s="253"/>
      <c r="J1" s="252"/>
      <c r="K1" s="252"/>
      <c r="L1" s="252"/>
      <c r="M1" s="252"/>
      <c r="N1" s="252"/>
      <c r="O1" s="252"/>
    </row>
    <row r="2" spans="1:15" ht="12.75" customHeight="1">
      <c r="A2" s="251"/>
      <c r="B2" s="254"/>
      <c r="C2" s="255" t="e">
        <f>F41</f>
        <v>#VALUE!</v>
      </c>
      <c r="D2" s="256" t="e">
        <f>IF(C2&gt;=1,"Die Mannschaftsstärke ist vergleichsweise gut ("&amp;TEXT(C2,"+0;-0;0")&amp;" durchschnittliche Stärkedifferenz)",IF(C2&lt;=-1,"Die Mannschaftsstärke ist vergleichsweise schlecht ("&amp;TEXT(C2,"+0;-0;0")&amp;" durchschnittliche Stärkedifferenz)","Die Mannschaftsstärke ist durchschnittlich ("&amp;TEXT(C2,"+0;-0;0")&amp;" durchschnittliche Stärkedifferenz)"))</f>
        <v>#VALUE!</v>
      </c>
      <c r="E2" s="257"/>
      <c r="F2" s="257"/>
      <c r="G2" s="257"/>
      <c r="H2" s="257"/>
      <c r="I2" s="257"/>
      <c r="J2" s="258" t="e">
        <f>M41</f>
        <v>#DIV/0!</v>
      </c>
      <c r="K2" s="256" t="e">
        <f>IF(M41&gt;0.6,"Die Stürmer sind vergleichsweise gut (Torquote "&amp;TEXT(M41,"0%")&amp;")",IF(M41&lt;0.45,"Die Stürmer sind vergleichsweise schlecht (Torquote "&amp;TEXT(M41,"0%")&amp;")","Die Stürmer sind durchschnittlich (Torquote "&amp;TEXT(M41,"0%")&amp;")"))</f>
        <v>#DIV/0!</v>
      </c>
      <c r="L2" s="256"/>
      <c r="M2" s="257"/>
      <c r="N2" s="259"/>
      <c r="O2" s="252"/>
    </row>
    <row r="3" spans="1:15" ht="12.75" customHeight="1">
      <c r="A3" s="251"/>
      <c r="B3" s="260"/>
      <c r="C3" s="261"/>
      <c r="D3" s="261"/>
      <c r="E3" s="262"/>
      <c r="F3" s="262"/>
      <c r="G3" s="262"/>
      <c r="H3" s="262"/>
      <c r="I3" s="262"/>
      <c r="J3" s="262"/>
      <c r="K3" s="262"/>
      <c r="L3" s="263"/>
      <c r="M3" s="262"/>
      <c r="N3" s="264"/>
      <c r="O3" s="252"/>
    </row>
    <row r="4" spans="1:15" ht="12.75" customHeight="1" thickBot="1">
      <c r="A4" s="251"/>
      <c r="B4" s="265"/>
      <c r="C4" s="266" t="e">
        <f>P36</f>
        <v>#VALUE!</v>
      </c>
      <c r="D4" s="267" t="e">
        <f>IF(C4&gt;=1,"Die Taktik ist vergleichsweise gut ("&amp;TEXT(C4,"+0,0;-0,0;0")&amp;" Chancen bei gleichstarkem Gegner )",IF(C4&lt;=-1,"Die Taktik ist vergleichsweise schlecht ("&amp;TEXT(C4,"+0,0;-0,0;0")&amp;" Chancen bei gleichstarkem Gegner )","Die Taktik ist durchschnittlich ("&amp;TEXT(C4,"+0,0;-0,0;0")&amp;" Chancen bei gleichstarkem Gegner )"))</f>
        <v>#VALUE!</v>
      </c>
      <c r="E4" s="268"/>
      <c r="F4" s="268"/>
      <c r="G4" s="268"/>
      <c r="H4" s="268"/>
      <c r="I4" s="268"/>
      <c r="J4" s="269" t="e">
        <f>N41</f>
        <v>#DIV/0!</v>
      </c>
      <c r="K4" s="267" t="e">
        <f>IF(N41&lt;0.4,"Der Torwart ist vergleichsweise gut (Gegentorquote "&amp;TEXT(N41,"0%")&amp;")",IF(N41&gt;0.6,"Der Torwart ist vergleichsweise schlecht (Gegentorquote "&amp;TEXT(N41,"0%")&amp;")","Der Torwart ist durchschnittlich (Gegentorquote "&amp;TEXT(N41,"0%")&amp;")"))</f>
        <v>#DIV/0!</v>
      </c>
      <c r="L4" s="267"/>
      <c r="M4" s="268"/>
      <c r="N4" s="270"/>
      <c r="O4" s="252"/>
    </row>
    <row r="5" spans="1:15" ht="6" customHeight="1" thickBot="1">
      <c r="A5" s="251"/>
      <c r="B5" s="251"/>
      <c r="C5" s="251"/>
      <c r="D5" s="251"/>
      <c r="E5" s="252"/>
      <c r="F5" s="252"/>
      <c r="G5" s="252"/>
      <c r="H5" s="252"/>
      <c r="I5" s="253"/>
      <c r="J5" s="252"/>
      <c r="K5" s="252"/>
      <c r="L5" s="252"/>
      <c r="M5" s="252"/>
      <c r="N5" s="252"/>
      <c r="O5" s="252"/>
    </row>
    <row r="6" spans="1:24" ht="12.75" customHeight="1" thickBot="1">
      <c r="A6" s="252"/>
      <c r="B6" s="271" t="s">
        <v>17</v>
      </c>
      <c r="C6" s="272" t="s">
        <v>34</v>
      </c>
      <c r="D6" s="272" t="s">
        <v>98</v>
      </c>
      <c r="E6" s="273" t="s">
        <v>99</v>
      </c>
      <c r="F6" s="272" t="s">
        <v>100</v>
      </c>
      <c r="G6" s="272" t="s">
        <v>101</v>
      </c>
      <c r="H6" s="272" t="s">
        <v>102</v>
      </c>
      <c r="I6" s="272" t="s">
        <v>103</v>
      </c>
      <c r="J6" s="272" t="s">
        <v>104</v>
      </c>
      <c r="K6" s="272" t="s">
        <v>105</v>
      </c>
      <c r="L6" s="272" t="s">
        <v>106</v>
      </c>
      <c r="M6" s="274" t="s">
        <v>107</v>
      </c>
      <c r="N6" s="275" t="s">
        <v>108</v>
      </c>
      <c r="O6" s="276"/>
      <c r="P6" s="194" t="s">
        <v>109</v>
      </c>
      <c r="Q6" t="s">
        <v>118</v>
      </c>
      <c r="T6"/>
      <c r="V6" t="s">
        <v>118</v>
      </c>
      <c r="W6" t="s">
        <v>118</v>
      </c>
      <c r="X6" t="s">
        <v>118</v>
      </c>
    </row>
    <row r="7" spans="1:23" ht="12.75" customHeight="1">
      <c r="A7" s="252"/>
      <c r="B7" s="277">
        <v>1</v>
      </c>
      <c r="C7" s="278" t="e">
        <f>IF(LEFT(TRIM(INDEX($A:$XFD,$P$16+(ROW()-7)*4,3)),8)=$Q$16,1*RIGHT(SUBSTITUTE(SUBSTITUTE(SUBSTITUTE(TRIM(INDEX($A:$XFD,$P$16+(ROW()-7)*4,3)),"(","   "),")",""),".",","),5),1*RIGHT(SUBSTITUTE(SUBSTITUTE(SUBSTITUTE(TRIM(INDEX($A:$XFD,$P$16+(ROW()-7)*4,6)),"(","   "),")",""),".",","),5))</f>
        <v>#VALUE!</v>
      </c>
      <c r="D7" s="278" t="e">
        <f>IF(LEFT(TRIM(INDEX($A:$XFD,$P$16+(ROW()-7)*4,3)),8)=$Q$16,1*RIGHT(SUBSTITUTE(SUBSTITUTE(SUBSTITUTE(TRIM(INDEX($A:$XFD,$P$16+(ROW()-7)*4,6)),"(","   "),")",""),".",","),5),1*RIGHT(SUBSTITUTE(SUBSTITUTE(SUBSTITUTE(TRIM(INDEX($A:$XFD,$P$16+(ROW()-7)*4,3)),"(","   "),")",""),".",","),5))</f>
        <v>#VALUE!</v>
      </c>
      <c r="E7" s="279">
        <f>IF(LEFT(INDEX($A:$XFD,$P$16+(ROW()-7)*4,3),8)=$Q$16,INDEX($A:$XFD,$P$16+(ROW()-7)*4,6),INDEX($A:$XFD,$P$16+(ROW()-7)*4,3))</f>
        <v>0</v>
      </c>
      <c r="F7" s="280" t="e">
        <f aca="true" t="shared" si="0" ref="F7:F40">C7-D7</f>
        <v>#VALUE!</v>
      </c>
      <c r="G7" s="278">
        <f>IF(LEFT(INDEX($A:$XFD,$P$16+(ROW()-7)*4,3),8)=$Q$16,INDEX($A:$XFD,$P$16+(ROW()-7)*4+1,1),INDEX($A:$XFD,$P$16+(ROW()-7)*4+1,3))</f>
        <v>0</v>
      </c>
      <c r="H7" s="278">
        <f>IF(LEFT(INDEX($A:$XFD,$P$16+(ROW()-7)*4,3),8)=$Q$16,INDEX($A:$XFD,$P$16+(ROW()-7)*4+1,3),INDEX($A:$XFD,$P$16+(ROW()-7)*4+1,1))</f>
        <v>0</v>
      </c>
      <c r="I7" s="281">
        <f>IF(ISNUMBER(G7),G7-H7+0.001,"")</f>
        <v>0.001</v>
      </c>
      <c r="J7" s="282"/>
      <c r="K7" s="282"/>
      <c r="L7" s="281">
        <f>IF(ISNUMBER(J7),J7-K7+0.001,"")</f>
      </c>
      <c r="M7" s="283">
        <f>IF(J7&gt;0,G7/J7,"")</f>
      </c>
      <c r="N7" s="292">
        <f aca="true" t="shared" si="1" ref="N7:N40">IF(K7&gt;0,H7/K7,"")</f>
      </c>
      <c r="O7" s="284"/>
      <c r="P7" s="334" t="e">
        <f>MIN($F$7:$F$40)</f>
        <v>#VALUE!</v>
      </c>
      <c r="Q7" s="285" t="e">
        <f>$P$25*P7+$P$28</f>
        <v>#VALUE!</v>
      </c>
      <c r="R7">
        <f>IF(LEN(I7)&gt;0,I7,-100)</f>
        <v>0.001</v>
      </c>
      <c r="S7">
        <f>IF(LEN(L7)&gt;0,L7,-100)</f>
        <v>-100</v>
      </c>
      <c r="T7">
        <f>IF(ISNUMBER(G7),G7,-100)</f>
        <v>0</v>
      </c>
      <c r="U7">
        <f>IF(ISNUMBER(J7),J7,-100)</f>
        <v>-100</v>
      </c>
      <c r="V7">
        <f>IF(ISNUMBER(H7),H7,-100)</f>
        <v>0</v>
      </c>
      <c r="W7">
        <f>IF(ISNUMBER(K7),K7,-100)</f>
        <v>-100</v>
      </c>
    </row>
    <row r="8" spans="1:23" ht="12.75" customHeight="1">
      <c r="A8" s="252"/>
      <c r="B8" s="286">
        <f aca="true" t="shared" si="2" ref="B8:B40">B7+1</f>
        <v>2</v>
      </c>
      <c r="C8" s="57" t="e">
        <f aca="true" t="shared" si="3" ref="C8:C40">IF(LEFT(TRIM(INDEX($A:$XFD,$P$16+(ROW()-7)*4,3)),8)=$Q$16,1*RIGHT(SUBSTITUTE(SUBSTITUTE(SUBSTITUTE(TRIM(INDEX($A:$XFD,$P$16+(ROW()-7)*4,3)),"(","   "),")",""),".",","),5),1*RIGHT(SUBSTITUTE(SUBSTITUTE(SUBSTITUTE(TRIM(INDEX($A:$XFD,$P$16+(ROW()-7)*4,6)),"(","   "),")",""),".",","),5))</f>
        <v>#VALUE!</v>
      </c>
      <c r="D8" s="57" t="e">
        <f aca="true" t="shared" si="4" ref="D8:D40">IF(LEFT(TRIM(INDEX($A:$XFD,$P$16+(ROW()-7)*4,3)),8)=$Q$16,1*RIGHT(SUBSTITUTE(SUBSTITUTE(SUBSTITUTE(TRIM(INDEX($A:$XFD,$P$16+(ROW()-7)*4,6)),"(","   "),")",""),".",","),5),1*RIGHT(SUBSTITUTE(SUBSTITUTE(SUBSTITUTE(TRIM(INDEX($A:$XFD,$P$16+(ROW()-7)*4,3)),"(","   "),")",""),".",","),5))</f>
        <v>#VALUE!</v>
      </c>
      <c r="E8" s="287">
        <f aca="true" t="shared" si="5" ref="E8:E40">IF(LEFT(INDEX($A:$XFD,$P$16+(ROW()-7)*4,3),8)=$Q$16,INDEX($A:$XFD,$P$16+(ROW()-7)*4,6),INDEX($A:$XFD,$P$16+(ROW()-7)*4,3))</f>
        <v>0</v>
      </c>
      <c r="F8" s="288" t="e">
        <f t="shared" si="0"/>
        <v>#VALUE!</v>
      </c>
      <c r="G8" s="57">
        <f aca="true" t="shared" si="6" ref="G8:G40">IF(LEFT(INDEX($A:$XFD,$P$16+(ROW()-7)*4,3),8)=$Q$16,INDEX($A:$XFD,$P$16+(ROW()-7)*4+1,1),INDEX($A:$XFD,$P$16+(ROW()-7)*4+1,3))</f>
        <v>0</v>
      </c>
      <c r="H8" s="57">
        <f aca="true" t="shared" si="7" ref="H8:H40">IF(LEFT(INDEX($A:$XFD,$P$16+(ROW()-7)*4,3),8)=$Q$16,INDEX($A:$XFD,$P$16+(ROW()-7)*4+1,3),INDEX($A:$XFD,$P$16+(ROW()-7)*4+1,1))</f>
        <v>0</v>
      </c>
      <c r="I8" s="289">
        <f aca="true" t="shared" si="8" ref="I8:I40">IF(ISNUMBER(G8),G8-H8+0.001,"")</f>
        <v>0.001</v>
      </c>
      <c r="J8" s="290"/>
      <c r="K8" s="290"/>
      <c r="L8" s="289">
        <f aca="true" t="shared" si="9" ref="L8:L40">IF(ISNUMBER(J8),J8-K8+0.001,"")</f>
      </c>
      <c r="M8" s="291">
        <f aca="true" t="shared" si="10" ref="M8:M40">IF(J8&gt;0,G8/J8,"")</f>
      </c>
      <c r="N8" s="292">
        <f t="shared" si="1"/>
      </c>
      <c r="O8" s="284"/>
      <c r="P8" s="335" t="e">
        <f>MAX($F$7:$F$40)</f>
        <v>#VALUE!</v>
      </c>
      <c r="Q8" s="285" t="e">
        <f>$P$25*P8+$P$28</f>
        <v>#VALUE!</v>
      </c>
      <c r="R8">
        <f aca="true" t="shared" si="11" ref="R8:R40">IF(LEN(I8)&gt;0,I8,-100)</f>
        <v>0.001</v>
      </c>
      <c r="S8">
        <f aca="true" t="shared" si="12" ref="S8:S40">IF(LEN(L8)&gt;0,L8,-100)</f>
        <v>-100</v>
      </c>
      <c r="T8">
        <f aca="true" t="shared" si="13" ref="T8:T40">IF(ISNUMBER(G8),G8,-100)</f>
        <v>0</v>
      </c>
      <c r="U8">
        <f aca="true" t="shared" si="14" ref="U8:U40">IF(ISNUMBER(J8),J8,-100)</f>
        <v>-100</v>
      </c>
      <c r="V8">
        <f aca="true" t="shared" si="15" ref="V8:V40">IF(ISNUMBER(H8),H8,-100)</f>
        <v>0</v>
      </c>
      <c r="W8">
        <f aca="true" t="shared" si="16" ref="W8:W40">IF(ISNUMBER(K8),K8,-100)</f>
        <v>-100</v>
      </c>
    </row>
    <row r="9" spans="1:23" ht="12.75" customHeight="1">
      <c r="A9" s="252"/>
      <c r="B9" s="286">
        <f t="shared" si="2"/>
        <v>3</v>
      </c>
      <c r="C9" s="57" t="e">
        <f t="shared" si="3"/>
        <v>#VALUE!</v>
      </c>
      <c r="D9" s="57" t="e">
        <f t="shared" si="4"/>
        <v>#VALUE!</v>
      </c>
      <c r="E9" s="287">
        <f t="shared" si="5"/>
        <v>0</v>
      </c>
      <c r="F9" s="288" t="e">
        <f t="shared" si="0"/>
        <v>#VALUE!</v>
      </c>
      <c r="G9" s="57">
        <f t="shared" si="6"/>
        <v>0</v>
      </c>
      <c r="H9" s="57">
        <f t="shared" si="7"/>
        <v>0</v>
      </c>
      <c r="I9" s="289">
        <f t="shared" si="8"/>
        <v>0.001</v>
      </c>
      <c r="J9" s="290"/>
      <c r="K9" s="290"/>
      <c r="L9" s="289">
        <f t="shared" si="9"/>
      </c>
      <c r="M9" s="291">
        <f t="shared" si="10"/>
      </c>
      <c r="N9" s="292">
        <f t="shared" si="1"/>
      </c>
      <c r="O9" s="284"/>
      <c r="P9" s="333"/>
      <c r="R9">
        <f t="shared" si="11"/>
        <v>0.001</v>
      </c>
      <c r="S9">
        <f t="shared" si="12"/>
        <v>-100</v>
      </c>
      <c r="T9">
        <f t="shared" si="13"/>
        <v>0</v>
      </c>
      <c r="U9">
        <f t="shared" si="14"/>
        <v>-100</v>
      </c>
      <c r="V9">
        <f t="shared" si="15"/>
        <v>0</v>
      </c>
      <c r="W9">
        <f t="shared" si="16"/>
        <v>-100</v>
      </c>
    </row>
    <row r="10" spans="1:23" ht="12.75" customHeight="1">
      <c r="A10" s="252"/>
      <c r="B10" s="286">
        <f t="shared" si="2"/>
        <v>4</v>
      </c>
      <c r="C10" s="57" t="e">
        <f t="shared" si="3"/>
        <v>#VALUE!</v>
      </c>
      <c r="D10" s="57" t="e">
        <f t="shared" si="4"/>
        <v>#VALUE!</v>
      </c>
      <c r="E10" s="287">
        <f t="shared" si="5"/>
        <v>0</v>
      </c>
      <c r="F10" s="288" t="e">
        <f t="shared" si="0"/>
        <v>#VALUE!</v>
      </c>
      <c r="G10" s="57">
        <f t="shared" si="6"/>
        <v>0</v>
      </c>
      <c r="H10" s="57">
        <f t="shared" si="7"/>
        <v>0</v>
      </c>
      <c r="I10" s="289">
        <f>IF(ISNUMBER(G10),VALUE(G10-H10)+0.001,"")</f>
        <v>0.001</v>
      </c>
      <c r="J10" s="290"/>
      <c r="K10" s="290"/>
      <c r="L10" s="289">
        <f>IF(ISNUMBER(J10),VALUE(J10-K10)+0.001,"")</f>
      </c>
      <c r="M10" s="291">
        <f t="shared" si="10"/>
      </c>
      <c r="N10" s="292">
        <f t="shared" si="1"/>
      </c>
      <c r="O10" s="284"/>
      <c r="P10" s="194" t="s">
        <v>110</v>
      </c>
      <c r="R10">
        <f t="shared" si="11"/>
        <v>0.001</v>
      </c>
      <c r="S10">
        <f t="shared" si="12"/>
        <v>-100</v>
      </c>
      <c r="T10">
        <f t="shared" si="13"/>
        <v>0</v>
      </c>
      <c r="U10">
        <f t="shared" si="14"/>
        <v>-100</v>
      </c>
      <c r="V10">
        <f t="shared" si="15"/>
        <v>0</v>
      </c>
      <c r="W10">
        <f t="shared" si="16"/>
        <v>-100</v>
      </c>
    </row>
    <row r="11" spans="1:23" ht="12.75" customHeight="1">
      <c r="A11" s="252"/>
      <c r="B11" s="286">
        <f t="shared" si="2"/>
        <v>5</v>
      </c>
      <c r="C11" s="57" t="e">
        <f t="shared" si="3"/>
        <v>#VALUE!</v>
      </c>
      <c r="D11" s="57" t="e">
        <f t="shared" si="4"/>
        <v>#VALUE!</v>
      </c>
      <c r="E11" s="287">
        <f t="shared" si="5"/>
        <v>0</v>
      </c>
      <c r="F11" s="288" t="e">
        <f t="shared" si="0"/>
        <v>#VALUE!</v>
      </c>
      <c r="G11" s="57">
        <f t="shared" si="6"/>
        <v>0</v>
      </c>
      <c r="H11" s="57">
        <f t="shared" si="7"/>
        <v>0</v>
      </c>
      <c r="I11" s="289">
        <f t="shared" si="8"/>
        <v>0.001</v>
      </c>
      <c r="J11" s="290"/>
      <c r="K11" s="290"/>
      <c r="L11" s="289">
        <f t="shared" si="9"/>
      </c>
      <c r="M11" s="291">
        <f t="shared" si="10"/>
      </c>
      <c r="N11" s="292">
        <f t="shared" si="1"/>
      </c>
      <c r="O11" s="284"/>
      <c r="P11" s="334" t="e">
        <f>MIN($F$7:$F$40)</f>
        <v>#VALUE!</v>
      </c>
      <c r="Q11" s="285" t="e">
        <f>$P$33*P11+$P$36</f>
        <v>#VALUE!</v>
      </c>
      <c r="R11">
        <f t="shared" si="11"/>
        <v>0.001</v>
      </c>
      <c r="S11">
        <f t="shared" si="12"/>
        <v>-100</v>
      </c>
      <c r="T11">
        <f t="shared" si="13"/>
        <v>0</v>
      </c>
      <c r="U11">
        <f t="shared" si="14"/>
        <v>-100</v>
      </c>
      <c r="V11">
        <f t="shared" si="15"/>
        <v>0</v>
      </c>
      <c r="W11">
        <f t="shared" si="16"/>
        <v>-100</v>
      </c>
    </row>
    <row r="12" spans="1:23" ht="12.75" customHeight="1">
      <c r="A12" s="252"/>
      <c r="B12" s="286">
        <f t="shared" si="2"/>
        <v>6</v>
      </c>
      <c r="C12" s="57" t="e">
        <f t="shared" si="3"/>
        <v>#VALUE!</v>
      </c>
      <c r="D12" s="57" t="e">
        <f t="shared" si="4"/>
        <v>#VALUE!</v>
      </c>
      <c r="E12" s="287">
        <f t="shared" si="5"/>
        <v>0</v>
      </c>
      <c r="F12" s="288" t="e">
        <f t="shared" si="0"/>
        <v>#VALUE!</v>
      </c>
      <c r="G12" s="57">
        <f t="shared" si="6"/>
        <v>0</v>
      </c>
      <c r="H12" s="57">
        <f t="shared" si="7"/>
        <v>0</v>
      </c>
      <c r="I12" s="289">
        <f t="shared" si="8"/>
        <v>0.001</v>
      </c>
      <c r="J12" s="290"/>
      <c r="K12" s="290"/>
      <c r="L12" s="289">
        <f t="shared" si="9"/>
      </c>
      <c r="M12" s="291">
        <f t="shared" si="10"/>
      </c>
      <c r="N12" s="292">
        <f t="shared" si="1"/>
      </c>
      <c r="O12" s="284"/>
      <c r="P12" s="335" t="e">
        <f>MAX($F$7:$F$40)</f>
        <v>#VALUE!</v>
      </c>
      <c r="Q12" s="285" t="e">
        <f>$P$33*P12+$P$36</f>
        <v>#VALUE!</v>
      </c>
      <c r="R12">
        <f t="shared" si="11"/>
        <v>0.001</v>
      </c>
      <c r="S12">
        <f t="shared" si="12"/>
        <v>-100</v>
      </c>
      <c r="T12">
        <f t="shared" si="13"/>
        <v>0</v>
      </c>
      <c r="U12">
        <f t="shared" si="14"/>
        <v>-100</v>
      </c>
      <c r="V12">
        <f t="shared" si="15"/>
        <v>0</v>
      </c>
      <c r="W12">
        <f t="shared" si="16"/>
        <v>-100</v>
      </c>
    </row>
    <row r="13" spans="1:23" ht="12.75" customHeight="1">
      <c r="A13" s="252"/>
      <c r="B13" s="286">
        <f t="shared" si="2"/>
        <v>7</v>
      </c>
      <c r="C13" s="57" t="e">
        <f t="shared" si="3"/>
        <v>#VALUE!</v>
      </c>
      <c r="D13" s="57" t="e">
        <f t="shared" si="4"/>
        <v>#VALUE!</v>
      </c>
      <c r="E13" s="287">
        <f t="shared" si="5"/>
        <v>0</v>
      </c>
      <c r="F13" s="288" t="e">
        <f t="shared" si="0"/>
        <v>#VALUE!</v>
      </c>
      <c r="G13" s="57">
        <f t="shared" si="6"/>
        <v>0</v>
      </c>
      <c r="H13" s="57">
        <f t="shared" si="7"/>
        <v>0</v>
      </c>
      <c r="I13" s="289">
        <f>IF(ISNUMBER(G13),VALUE(G13-H13)+0.001,"")</f>
        <v>0.001</v>
      </c>
      <c r="J13" s="290"/>
      <c r="K13" s="290"/>
      <c r="L13" s="289">
        <f>IF(ISNUMBER(J13),VALUE(J13-K13)+0.001,"")</f>
      </c>
      <c r="M13" s="291">
        <f t="shared" si="10"/>
      </c>
      <c r="N13" s="292">
        <f t="shared" si="1"/>
      </c>
      <c r="O13" s="284"/>
      <c r="P13" s="333"/>
      <c r="R13">
        <f t="shared" si="11"/>
        <v>0.001</v>
      </c>
      <c r="S13">
        <f t="shared" si="12"/>
        <v>-100</v>
      </c>
      <c r="T13">
        <f t="shared" si="13"/>
        <v>0</v>
      </c>
      <c r="U13">
        <f t="shared" si="14"/>
        <v>-100</v>
      </c>
      <c r="V13">
        <f t="shared" si="15"/>
        <v>0</v>
      </c>
      <c r="W13">
        <f t="shared" si="16"/>
        <v>-100</v>
      </c>
    </row>
    <row r="14" spans="1:23" ht="12.75" customHeight="1">
      <c r="A14" s="252"/>
      <c r="B14" s="286">
        <f t="shared" si="2"/>
        <v>8</v>
      </c>
      <c r="C14" s="57" t="e">
        <f t="shared" si="3"/>
        <v>#VALUE!</v>
      </c>
      <c r="D14" s="57" t="e">
        <f t="shared" si="4"/>
        <v>#VALUE!</v>
      </c>
      <c r="E14" s="287">
        <f t="shared" si="5"/>
        <v>0</v>
      </c>
      <c r="F14" s="288" t="e">
        <f t="shared" si="0"/>
        <v>#VALUE!</v>
      </c>
      <c r="G14" s="57">
        <f t="shared" si="6"/>
        <v>0</v>
      </c>
      <c r="H14" s="57">
        <f t="shared" si="7"/>
        <v>0</v>
      </c>
      <c r="I14" s="289">
        <f t="shared" si="8"/>
        <v>0.001</v>
      </c>
      <c r="J14" s="290"/>
      <c r="K14" s="290"/>
      <c r="L14" s="289">
        <f t="shared" si="9"/>
      </c>
      <c r="M14" s="291">
        <f t="shared" si="10"/>
      </c>
      <c r="N14" s="292">
        <f t="shared" si="1"/>
      </c>
      <c r="O14" s="284"/>
      <c r="P14" s="333"/>
      <c r="R14">
        <f t="shared" si="11"/>
        <v>0.001</v>
      </c>
      <c r="S14">
        <f t="shared" si="12"/>
        <v>-100</v>
      </c>
      <c r="T14">
        <f t="shared" si="13"/>
        <v>0</v>
      </c>
      <c r="U14">
        <f t="shared" si="14"/>
        <v>-100</v>
      </c>
      <c r="V14">
        <f t="shared" si="15"/>
        <v>0</v>
      </c>
      <c r="W14">
        <f t="shared" si="16"/>
        <v>-100</v>
      </c>
    </row>
    <row r="15" spans="1:23" ht="12.75" customHeight="1">
      <c r="A15" s="252"/>
      <c r="B15" s="286">
        <f t="shared" si="2"/>
        <v>9</v>
      </c>
      <c r="C15" s="57" t="e">
        <f t="shared" si="3"/>
        <v>#VALUE!</v>
      </c>
      <c r="D15" s="57" t="e">
        <f t="shared" si="4"/>
        <v>#VALUE!</v>
      </c>
      <c r="E15" s="287">
        <f t="shared" si="5"/>
        <v>0</v>
      </c>
      <c r="F15" s="288" t="e">
        <f t="shared" si="0"/>
        <v>#VALUE!</v>
      </c>
      <c r="G15" s="57">
        <f t="shared" si="6"/>
        <v>0</v>
      </c>
      <c r="H15" s="57">
        <f t="shared" si="7"/>
        <v>0</v>
      </c>
      <c r="I15" s="289">
        <f t="shared" si="8"/>
        <v>0.001</v>
      </c>
      <c r="J15" s="290"/>
      <c r="K15" s="290"/>
      <c r="L15" s="289">
        <f t="shared" si="9"/>
      </c>
      <c r="M15" s="291">
        <f t="shared" si="10"/>
      </c>
      <c r="N15" s="292">
        <f t="shared" si="1"/>
      </c>
      <c r="O15" s="284"/>
      <c r="P15" s="333" t="s">
        <v>111</v>
      </c>
      <c r="Q15" t="s">
        <v>119</v>
      </c>
      <c r="R15">
        <f t="shared" si="11"/>
        <v>0.001</v>
      </c>
      <c r="S15">
        <f t="shared" si="12"/>
        <v>-100</v>
      </c>
      <c r="T15">
        <f t="shared" si="13"/>
        <v>0</v>
      </c>
      <c r="U15">
        <f t="shared" si="14"/>
        <v>-100</v>
      </c>
      <c r="V15">
        <f t="shared" si="15"/>
        <v>0</v>
      </c>
      <c r="W15">
        <f t="shared" si="16"/>
        <v>-100</v>
      </c>
    </row>
    <row r="16" spans="1:23" ht="12.75" customHeight="1">
      <c r="A16" s="252"/>
      <c r="B16" s="286">
        <f t="shared" si="2"/>
        <v>10</v>
      </c>
      <c r="C16" s="57" t="e">
        <f t="shared" si="3"/>
        <v>#VALUE!</v>
      </c>
      <c r="D16" s="57" t="e">
        <f t="shared" si="4"/>
        <v>#VALUE!</v>
      </c>
      <c r="E16" s="287">
        <f t="shared" si="5"/>
        <v>0</v>
      </c>
      <c r="F16" s="288" t="e">
        <f t="shared" si="0"/>
        <v>#VALUE!</v>
      </c>
      <c r="G16" s="57">
        <f t="shared" si="6"/>
        <v>0</v>
      </c>
      <c r="H16" s="57">
        <f t="shared" si="7"/>
        <v>0</v>
      </c>
      <c r="I16" s="289">
        <f t="shared" si="8"/>
        <v>0.001</v>
      </c>
      <c r="J16" s="290"/>
      <c r="K16" s="290"/>
      <c r="L16" s="289">
        <f t="shared" si="9"/>
      </c>
      <c r="M16" s="291">
        <f t="shared" si="10"/>
      </c>
      <c r="N16" s="292">
        <f t="shared" si="1"/>
      </c>
      <c r="O16" s="284"/>
      <c r="P16" s="336">
        <f>ROW(A67)</f>
        <v>67</v>
      </c>
      <c r="Q16">
        <f>Q67</f>
        <v>0</v>
      </c>
      <c r="R16">
        <f t="shared" si="11"/>
        <v>0.001</v>
      </c>
      <c r="S16">
        <f t="shared" si="12"/>
        <v>-100</v>
      </c>
      <c r="T16">
        <f t="shared" si="13"/>
        <v>0</v>
      </c>
      <c r="U16">
        <f t="shared" si="14"/>
        <v>-100</v>
      </c>
      <c r="V16">
        <f t="shared" si="15"/>
        <v>0</v>
      </c>
      <c r="W16">
        <f t="shared" si="16"/>
        <v>-100</v>
      </c>
    </row>
    <row r="17" spans="1:23" ht="12.75" customHeight="1">
      <c r="A17" s="252"/>
      <c r="B17" s="286">
        <f t="shared" si="2"/>
        <v>11</v>
      </c>
      <c r="C17" s="57" t="e">
        <f t="shared" si="3"/>
        <v>#VALUE!</v>
      </c>
      <c r="D17" s="57" t="e">
        <f t="shared" si="4"/>
        <v>#VALUE!</v>
      </c>
      <c r="E17" s="287">
        <f t="shared" si="5"/>
        <v>0</v>
      </c>
      <c r="F17" s="288" t="e">
        <f t="shared" si="0"/>
        <v>#VALUE!</v>
      </c>
      <c r="G17" s="57">
        <f t="shared" si="6"/>
        <v>0</v>
      </c>
      <c r="H17" s="57">
        <f t="shared" si="7"/>
        <v>0</v>
      </c>
      <c r="I17" s="289">
        <f t="shared" si="8"/>
        <v>0.001</v>
      </c>
      <c r="J17" s="290"/>
      <c r="K17" s="290"/>
      <c r="L17" s="289">
        <f t="shared" si="9"/>
      </c>
      <c r="M17" s="291">
        <f t="shared" si="10"/>
      </c>
      <c r="N17" s="292">
        <f t="shared" si="1"/>
      </c>
      <c r="O17" s="284"/>
      <c r="P17" s="333"/>
      <c r="R17">
        <f t="shared" si="11"/>
        <v>0.001</v>
      </c>
      <c r="S17">
        <f t="shared" si="12"/>
        <v>-100</v>
      </c>
      <c r="T17">
        <f t="shared" si="13"/>
        <v>0</v>
      </c>
      <c r="U17">
        <f t="shared" si="14"/>
        <v>-100</v>
      </c>
      <c r="V17">
        <f t="shared" si="15"/>
        <v>0</v>
      </c>
      <c r="W17">
        <f t="shared" si="16"/>
        <v>-100</v>
      </c>
    </row>
    <row r="18" spans="1:23" ht="12.75" customHeight="1">
      <c r="A18" s="252"/>
      <c r="B18" s="286">
        <f t="shared" si="2"/>
        <v>12</v>
      </c>
      <c r="C18" s="57" t="e">
        <f t="shared" si="3"/>
        <v>#VALUE!</v>
      </c>
      <c r="D18" s="57" t="e">
        <f t="shared" si="4"/>
        <v>#VALUE!</v>
      </c>
      <c r="E18" s="287">
        <f t="shared" si="5"/>
        <v>0</v>
      </c>
      <c r="F18" s="288" t="e">
        <f t="shared" si="0"/>
        <v>#VALUE!</v>
      </c>
      <c r="G18" s="57">
        <f t="shared" si="6"/>
        <v>0</v>
      </c>
      <c r="H18" s="57">
        <f t="shared" si="7"/>
        <v>0</v>
      </c>
      <c r="I18" s="289">
        <f t="shared" si="8"/>
        <v>0.001</v>
      </c>
      <c r="J18" s="290"/>
      <c r="K18" s="290"/>
      <c r="L18" s="289">
        <f t="shared" si="9"/>
      </c>
      <c r="M18" s="291">
        <f t="shared" si="10"/>
      </c>
      <c r="N18" s="292">
        <f t="shared" si="1"/>
      </c>
      <c r="O18" s="284"/>
      <c r="P18" s="333" t="s">
        <v>112</v>
      </c>
      <c r="R18">
        <f t="shared" si="11"/>
        <v>0.001</v>
      </c>
      <c r="S18">
        <f t="shared" si="12"/>
        <v>-100</v>
      </c>
      <c r="T18">
        <f t="shared" si="13"/>
        <v>0</v>
      </c>
      <c r="U18">
        <f t="shared" si="14"/>
        <v>-100</v>
      </c>
      <c r="V18">
        <f t="shared" si="15"/>
        <v>0</v>
      </c>
      <c r="W18">
        <f t="shared" si="16"/>
        <v>-100</v>
      </c>
    </row>
    <row r="19" spans="1:23" ht="12.75" customHeight="1">
      <c r="A19" s="252"/>
      <c r="B19" s="286">
        <f t="shared" si="2"/>
        <v>13</v>
      </c>
      <c r="C19" s="57" t="e">
        <f t="shared" si="3"/>
        <v>#VALUE!</v>
      </c>
      <c r="D19" s="57" t="e">
        <f t="shared" si="4"/>
        <v>#VALUE!</v>
      </c>
      <c r="E19" s="287">
        <f t="shared" si="5"/>
        <v>0</v>
      </c>
      <c r="F19" s="288" t="e">
        <f t="shared" si="0"/>
        <v>#VALUE!</v>
      </c>
      <c r="G19" s="57">
        <f t="shared" si="6"/>
        <v>0</v>
      </c>
      <c r="H19" s="57">
        <f t="shared" si="7"/>
        <v>0</v>
      </c>
      <c r="I19" s="289">
        <f t="shared" si="8"/>
        <v>0.001</v>
      </c>
      <c r="J19" s="290"/>
      <c r="K19" s="290"/>
      <c r="L19" s="289">
        <f t="shared" si="9"/>
      </c>
      <c r="M19" s="291">
        <f t="shared" si="10"/>
      </c>
      <c r="N19" s="292">
        <f t="shared" si="1"/>
      </c>
      <c r="O19" s="284"/>
      <c r="P19" s="293">
        <f>34-COUNTBLANK(I7:I40)</f>
        <v>34</v>
      </c>
      <c r="R19">
        <f t="shared" si="11"/>
        <v>0.001</v>
      </c>
      <c r="S19">
        <f t="shared" si="12"/>
        <v>-100</v>
      </c>
      <c r="T19">
        <f t="shared" si="13"/>
        <v>0</v>
      </c>
      <c r="U19">
        <f t="shared" si="14"/>
        <v>-100</v>
      </c>
      <c r="V19">
        <f t="shared" si="15"/>
        <v>0</v>
      </c>
      <c r="W19">
        <f t="shared" si="16"/>
        <v>-100</v>
      </c>
    </row>
    <row r="20" spans="1:23" ht="12.75" customHeight="1">
      <c r="A20" s="252"/>
      <c r="B20" s="286">
        <f t="shared" si="2"/>
        <v>14</v>
      </c>
      <c r="C20" s="57" t="e">
        <f t="shared" si="3"/>
        <v>#VALUE!</v>
      </c>
      <c r="D20" s="57" t="e">
        <f t="shared" si="4"/>
        <v>#VALUE!</v>
      </c>
      <c r="E20" s="287">
        <f t="shared" si="5"/>
        <v>0</v>
      </c>
      <c r="F20" s="288" t="e">
        <f t="shared" si="0"/>
        <v>#VALUE!</v>
      </c>
      <c r="G20" s="57">
        <f t="shared" si="6"/>
        <v>0</v>
      </c>
      <c r="H20" s="57">
        <f t="shared" si="7"/>
        <v>0</v>
      </c>
      <c r="I20" s="289">
        <f t="shared" si="8"/>
        <v>0.001</v>
      </c>
      <c r="J20" s="290"/>
      <c r="K20" s="290"/>
      <c r="L20" s="289">
        <f t="shared" si="9"/>
      </c>
      <c r="M20" s="291">
        <f t="shared" si="10"/>
      </c>
      <c r="N20" s="292">
        <f t="shared" si="1"/>
      </c>
      <c r="O20" s="284"/>
      <c r="P20" s="336"/>
      <c r="R20">
        <f t="shared" si="11"/>
        <v>0.001</v>
      </c>
      <c r="S20">
        <f t="shared" si="12"/>
        <v>-100</v>
      </c>
      <c r="T20">
        <f t="shared" si="13"/>
        <v>0</v>
      </c>
      <c r="U20">
        <f t="shared" si="14"/>
        <v>-100</v>
      </c>
      <c r="V20">
        <f t="shared" si="15"/>
        <v>0</v>
      </c>
      <c r="W20">
        <f t="shared" si="16"/>
        <v>-100</v>
      </c>
    </row>
    <row r="21" spans="1:23" ht="12.75" customHeight="1">
      <c r="A21" s="252"/>
      <c r="B21" s="286">
        <f t="shared" si="2"/>
        <v>15</v>
      </c>
      <c r="C21" s="57" t="e">
        <f t="shared" si="3"/>
        <v>#VALUE!</v>
      </c>
      <c r="D21" s="57" t="e">
        <f t="shared" si="4"/>
        <v>#VALUE!</v>
      </c>
      <c r="E21" s="287">
        <f t="shared" si="5"/>
        <v>0</v>
      </c>
      <c r="F21" s="288" t="e">
        <f t="shared" si="0"/>
        <v>#VALUE!</v>
      </c>
      <c r="G21" s="57">
        <f t="shared" si="6"/>
        <v>0</v>
      </c>
      <c r="H21" s="57">
        <f t="shared" si="7"/>
        <v>0</v>
      </c>
      <c r="I21" s="289">
        <f t="shared" si="8"/>
        <v>0.001</v>
      </c>
      <c r="J21" s="290"/>
      <c r="K21" s="290"/>
      <c r="L21" s="289">
        <f t="shared" si="9"/>
      </c>
      <c r="M21" s="291">
        <f t="shared" si="10"/>
      </c>
      <c r="N21" s="292">
        <f t="shared" si="1"/>
      </c>
      <c r="O21" s="284"/>
      <c r="P21" s="333"/>
      <c r="R21">
        <f t="shared" si="11"/>
        <v>0.001</v>
      </c>
      <c r="S21">
        <f t="shared" si="12"/>
        <v>-100</v>
      </c>
      <c r="T21">
        <f t="shared" si="13"/>
        <v>0</v>
      </c>
      <c r="U21">
        <f t="shared" si="14"/>
        <v>-100</v>
      </c>
      <c r="V21">
        <f t="shared" si="15"/>
        <v>0</v>
      </c>
      <c r="W21">
        <f t="shared" si="16"/>
        <v>-100</v>
      </c>
    </row>
    <row r="22" spans="1:23" ht="12.75" customHeight="1">
      <c r="A22" s="252"/>
      <c r="B22" s="286">
        <f t="shared" si="2"/>
        <v>16</v>
      </c>
      <c r="C22" s="57" t="e">
        <f t="shared" si="3"/>
        <v>#VALUE!</v>
      </c>
      <c r="D22" s="57" t="e">
        <f t="shared" si="4"/>
        <v>#VALUE!</v>
      </c>
      <c r="E22" s="287">
        <f t="shared" si="5"/>
        <v>0</v>
      </c>
      <c r="F22" s="288" t="e">
        <f t="shared" si="0"/>
        <v>#VALUE!</v>
      </c>
      <c r="G22" s="57">
        <f t="shared" si="6"/>
        <v>0</v>
      </c>
      <c r="H22" s="57">
        <f t="shared" si="7"/>
        <v>0</v>
      </c>
      <c r="I22" s="289">
        <f t="shared" si="8"/>
        <v>0.001</v>
      </c>
      <c r="J22" s="290"/>
      <c r="K22" s="290"/>
      <c r="L22" s="289">
        <f t="shared" si="9"/>
      </c>
      <c r="M22" s="291">
        <f t="shared" si="10"/>
      </c>
      <c r="N22" s="292">
        <f t="shared" si="1"/>
      </c>
      <c r="O22" s="284"/>
      <c r="P22" s="333" t="s">
        <v>109</v>
      </c>
      <c r="R22">
        <f t="shared" si="11"/>
        <v>0.001</v>
      </c>
      <c r="S22">
        <f t="shared" si="12"/>
        <v>-100</v>
      </c>
      <c r="T22">
        <f t="shared" si="13"/>
        <v>0</v>
      </c>
      <c r="U22">
        <f t="shared" si="14"/>
        <v>-100</v>
      </c>
      <c r="V22">
        <f t="shared" si="15"/>
        <v>0</v>
      </c>
      <c r="W22">
        <f t="shared" si="16"/>
        <v>-100</v>
      </c>
    </row>
    <row r="23" spans="1:23" ht="12.75" customHeight="1">
      <c r="A23" s="252"/>
      <c r="B23" s="286">
        <f t="shared" si="2"/>
        <v>17</v>
      </c>
      <c r="C23" s="57" t="e">
        <f t="shared" si="3"/>
        <v>#VALUE!</v>
      </c>
      <c r="D23" s="57" t="e">
        <f t="shared" si="4"/>
        <v>#VALUE!</v>
      </c>
      <c r="E23" s="287">
        <f t="shared" si="5"/>
        <v>0</v>
      </c>
      <c r="F23" s="288" t="e">
        <f t="shared" si="0"/>
        <v>#VALUE!</v>
      </c>
      <c r="G23" s="57">
        <f t="shared" si="6"/>
        <v>0</v>
      </c>
      <c r="H23" s="57">
        <f t="shared" si="7"/>
        <v>0</v>
      </c>
      <c r="I23" s="289">
        <f t="shared" si="8"/>
        <v>0.001</v>
      </c>
      <c r="J23" s="290"/>
      <c r="K23" s="290"/>
      <c r="L23" s="289">
        <f t="shared" si="9"/>
      </c>
      <c r="M23" s="291">
        <f t="shared" si="10"/>
      </c>
      <c r="N23" s="292">
        <f t="shared" si="1"/>
      </c>
      <c r="O23" s="284"/>
      <c r="P23" s="333" t="s">
        <v>113</v>
      </c>
      <c r="R23">
        <f t="shared" si="11"/>
        <v>0.001</v>
      </c>
      <c r="S23">
        <f t="shared" si="12"/>
        <v>-100</v>
      </c>
      <c r="T23">
        <f t="shared" si="13"/>
        <v>0</v>
      </c>
      <c r="U23">
        <f t="shared" si="14"/>
        <v>-100</v>
      </c>
      <c r="V23">
        <f t="shared" si="15"/>
        <v>0</v>
      </c>
      <c r="W23">
        <f t="shared" si="16"/>
        <v>-100</v>
      </c>
    </row>
    <row r="24" spans="1:23" ht="12.75" customHeight="1">
      <c r="A24" s="252"/>
      <c r="B24" s="286">
        <f t="shared" si="2"/>
        <v>18</v>
      </c>
      <c r="C24" s="57" t="e">
        <f t="shared" si="3"/>
        <v>#VALUE!</v>
      </c>
      <c r="D24" s="57" t="e">
        <f t="shared" si="4"/>
        <v>#VALUE!</v>
      </c>
      <c r="E24" s="287">
        <f t="shared" si="5"/>
        <v>0</v>
      </c>
      <c r="F24" s="288" t="e">
        <f t="shared" si="0"/>
        <v>#VALUE!</v>
      </c>
      <c r="G24" s="57">
        <f t="shared" si="6"/>
        <v>0</v>
      </c>
      <c r="H24" s="57">
        <f t="shared" si="7"/>
        <v>0</v>
      </c>
      <c r="I24" s="289">
        <f t="shared" si="8"/>
        <v>0.001</v>
      </c>
      <c r="J24" s="290"/>
      <c r="K24" s="290"/>
      <c r="L24" s="289">
        <f t="shared" si="9"/>
      </c>
      <c r="M24" s="291">
        <f t="shared" si="10"/>
      </c>
      <c r="N24" s="292">
        <f t="shared" si="1"/>
      </c>
      <c r="O24" s="284"/>
      <c r="P24" s="333" t="s">
        <v>114</v>
      </c>
      <c r="R24">
        <f t="shared" si="11"/>
        <v>0.001</v>
      </c>
      <c r="S24">
        <f t="shared" si="12"/>
        <v>-100</v>
      </c>
      <c r="T24">
        <f t="shared" si="13"/>
        <v>0</v>
      </c>
      <c r="U24">
        <f t="shared" si="14"/>
        <v>-100</v>
      </c>
      <c r="V24">
        <f t="shared" si="15"/>
        <v>0</v>
      </c>
      <c r="W24">
        <f t="shared" si="16"/>
        <v>-100</v>
      </c>
    </row>
    <row r="25" spans="1:23" ht="12.75" customHeight="1">
      <c r="A25" s="252"/>
      <c r="B25" s="286">
        <f t="shared" si="2"/>
        <v>19</v>
      </c>
      <c r="C25" s="57" t="e">
        <f t="shared" si="3"/>
        <v>#VALUE!</v>
      </c>
      <c r="D25" s="57" t="e">
        <f t="shared" si="4"/>
        <v>#VALUE!</v>
      </c>
      <c r="E25" s="287">
        <f t="shared" si="5"/>
        <v>0</v>
      </c>
      <c r="F25" s="288" t="e">
        <f t="shared" si="0"/>
        <v>#VALUE!</v>
      </c>
      <c r="G25" s="57">
        <f t="shared" si="6"/>
        <v>0</v>
      </c>
      <c r="H25" s="57">
        <f t="shared" si="7"/>
        <v>0</v>
      </c>
      <c r="I25" s="289">
        <f t="shared" si="8"/>
        <v>0.001</v>
      </c>
      <c r="J25" s="290"/>
      <c r="K25" s="290"/>
      <c r="L25" s="289">
        <f t="shared" si="9"/>
      </c>
      <c r="M25" s="291">
        <f t="shared" si="10"/>
      </c>
      <c r="N25" s="292">
        <f t="shared" si="1"/>
      </c>
      <c r="O25" s="284"/>
      <c r="P25" s="337" t="e">
        <f ca="1">SLOPE(INDIRECT("I2:I"&amp;TEXT(1+$P$19,"0")),INDIRECT("F2:F"&amp;TEXT(1+$P$19,"0")))</f>
        <v>#VALUE!</v>
      </c>
      <c r="R25">
        <f t="shared" si="11"/>
        <v>0.001</v>
      </c>
      <c r="S25">
        <f t="shared" si="12"/>
        <v>-100</v>
      </c>
      <c r="T25">
        <f t="shared" si="13"/>
        <v>0</v>
      </c>
      <c r="U25">
        <f t="shared" si="14"/>
        <v>-100</v>
      </c>
      <c r="V25">
        <f t="shared" si="15"/>
        <v>0</v>
      </c>
      <c r="W25">
        <f t="shared" si="16"/>
        <v>-100</v>
      </c>
    </row>
    <row r="26" spans="1:23" ht="12.75" customHeight="1">
      <c r="A26" s="252"/>
      <c r="B26" s="286">
        <f t="shared" si="2"/>
        <v>20</v>
      </c>
      <c r="C26" s="57" t="e">
        <f t="shared" si="3"/>
        <v>#VALUE!</v>
      </c>
      <c r="D26" s="57" t="e">
        <f t="shared" si="4"/>
        <v>#VALUE!</v>
      </c>
      <c r="E26" s="287">
        <f t="shared" si="5"/>
        <v>0</v>
      </c>
      <c r="F26" s="288" t="e">
        <f t="shared" si="0"/>
        <v>#VALUE!</v>
      </c>
      <c r="G26" s="57">
        <f t="shared" si="6"/>
        <v>0</v>
      </c>
      <c r="H26" s="57">
        <f t="shared" si="7"/>
        <v>0</v>
      </c>
      <c r="I26" s="289">
        <f t="shared" si="8"/>
        <v>0.001</v>
      </c>
      <c r="J26" s="290"/>
      <c r="K26" s="290"/>
      <c r="L26" s="289">
        <f t="shared" si="9"/>
      </c>
      <c r="M26" s="291">
        <f t="shared" si="10"/>
      </c>
      <c r="N26" s="292">
        <f t="shared" si="1"/>
      </c>
      <c r="O26" s="284"/>
      <c r="P26" s="333"/>
      <c r="R26">
        <f t="shared" si="11"/>
        <v>0.001</v>
      </c>
      <c r="S26">
        <f t="shared" si="12"/>
        <v>-100</v>
      </c>
      <c r="T26">
        <f t="shared" si="13"/>
        <v>0</v>
      </c>
      <c r="U26">
        <f t="shared" si="14"/>
        <v>-100</v>
      </c>
      <c r="V26">
        <f t="shared" si="15"/>
        <v>0</v>
      </c>
      <c r="W26">
        <f t="shared" si="16"/>
        <v>-100</v>
      </c>
    </row>
    <row r="27" spans="1:23" ht="12.75" customHeight="1">
      <c r="A27" s="252"/>
      <c r="B27" s="286">
        <f t="shared" si="2"/>
        <v>21</v>
      </c>
      <c r="C27" s="57" t="e">
        <f t="shared" si="3"/>
        <v>#VALUE!</v>
      </c>
      <c r="D27" s="57" t="e">
        <f t="shared" si="4"/>
        <v>#VALUE!</v>
      </c>
      <c r="E27" s="287">
        <f t="shared" si="5"/>
        <v>0</v>
      </c>
      <c r="F27" s="288" t="e">
        <f t="shared" si="0"/>
        <v>#VALUE!</v>
      </c>
      <c r="G27" s="57">
        <f t="shared" si="6"/>
        <v>0</v>
      </c>
      <c r="H27" s="57">
        <f t="shared" si="7"/>
        <v>0</v>
      </c>
      <c r="I27" s="289">
        <f t="shared" si="8"/>
        <v>0.001</v>
      </c>
      <c r="J27" s="290"/>
      <c r="K27" s="290"/>
      <c r="L27" s="289">
        <f t="shared" si="9"/>
      </c>
      <c r="M27" s="291">
        <f t="shared" si="10"/>
      </c>
      <c r="N27" s="292">
        <f t="shared" si="1"/>
      </c>
      <c r="O27" s="284"/>
      <c r="P27" s="333" t="s">
        <v>115</v>
      </c>
      <c r="R27">
        <f t="shared" si="11"/>
        <v>0.001</v>
      </c>
      <c r="S27">
        <f t="shared" si="12"/>
        <v>-100</v>
      </c>
      <c r="T27">
        <f t="shared" si="13"/>
        <v>0</v>
      </c>
      <c r="U27">
        <f t="shared" si="14"/>
        <v>-100</v>
      </c>
      <c r="V27">
        <f t="shared" si="15"/>
        <v>0</v>
      </c>
      <c r="W27">
        <f t="shared" si="16"/>
        <v>-100</v>
      </c>
    </row>
    <row r="28" spans="1:23" ht="12.75" customHeight="1">
      <c r="A28" s="252"/>
      <c r="B28" s="286">
        <f t="shared" si="2"/>
        <v>22</v>
      </c>
      <c r="C28" s="57" t="e">
        <f t="shared" si="3"/>
        <v>#VALUE!</v>
      </c>
      <c r="D28" s="57" t="e">
        <f t="shared" si="4"/>
        <v>#VALUE!</v>
      </c>
      <c r="E28" s="287">
        <f t="shared" si="5"/>
        <v>0</v>
      </c>
      <c r="F28" s="288" t="e">
        <f t="shared" si="0"/>
        <v>#VALUE!</v>
      </c>
      <c r="G28" s="57">
        <f t="shared" si="6"/>
        <v>0</v>
      </c>
      <c r="H28" s="57">
        <f t="shared" si="7"/>
        <v>0</v>
      </c>
      <c r="I28" s="289">
        <f t="shared" si="8"/>
        <v>0.001</v>
      </c>
      <c r="J28" s="290"/>
      <c r="K28" s="290"/>
      <c r="L28" s="289">
        <f t="shared" si="9"/>
      </c>
      <c r="M28" s="291">
        <f t="shared" si="10"/>
      </c>
      <c r="N28" s="292">
        <f t="shared" si="1"/>
      </c>
      <c r="O28" s="284"/>
      <c r="P28" s="338" t="e">
        <f ca="1">INTERCEPT(INDIRECT("I2:I"&amp;TEXT(1+$P$19,"0")),INDIRECT("F2:F"&amp;TEXT(1+$P$19,"0")))</f>
        <v>#VALUE!</v>
      </c>
      <c r="R28">
        <f t="shared" si="11"/>
        <v>0.001</v>
      </c>
      <c r="S28">
        <f t="shared" si="12"/>
        <v>-100</v>
      </c>
      <c r="T28">
        <f t="shared" si="13"/>
        <v>0</v>
      </c>
      <c r="U28">
        <f t="shared" si="14"/>
        <v>-100</v>
      </c>
      <c r="V28">
        <f t="shared" si="15"/>
        <v>0</v>
      </c>
      <c r="W28">
        <f t="shared" si="16"/>
        <v>-100</v>
      </c>
    </row>
    <row r="29" spans="1:23" ht="12.75" customHeight="1">
      <c r="A29" s="252"/>
      <c r="B29" s="286">
        <f t="shared" si="2"/>
        <v>23</v>
      </c>
      <c r="C29" s="57" t="e">
        <f t="shared" si="3"/>
        <v>#VALUE!</v>
      </c>
      <c r="D29" s="57" t="e">
        <f t="shared" si="4"/>
        <v>#VALUE!</v>
      </c>
      <c r="E29" s="287">
        <f t="shared" si="5"/>
        <v>0</v>
      </c>
      <c r="F29" s="288" t="e">
        <f t="shared" si="0"/>
        <v>#VALUE!</v>
      </c>
      <c r="G29" s="57">
        <f t="shared" si="6"/>
        <v>0</v>
      </c>
      <c r="H29" s="57">
        <f t="shared" si="7"/>
        <v>0</v>
      </c>
      <c r="I29" s="289">
        <f t="shared" si="8"/>
        <v>0.001</v>
      </c>
      <c r="J29" s="290"/>
      <c r="K29" s="290"/>
      <c r="L29" s="289">
        <f t="shared" si="9"/>
      </c>
      <c r="M29" s="291">
        <f t="shared" si="10"/>
      </c>
      <c r="N29" s="292">
        <f t="shared" si="1"/>
      </c>
      <c r="O29" s="284"/>
      <c r="P29" s="333"/>
      <c r="R29">
        <f t="shared" si="11"/>
        <v>0.001</v>
      </c>
      <c r="S29">
        <f t="shared" si="12"/>
        <v>-100</v>
      </c>
      <c r="T29">
        <f t="shared" si="13"/>
        <v>0</v>
      </c>
      <c r="U29">
        <f t="shared" si="14"/>
        <v>-100</v>
      </c>
      <c r="V29">
        <f t="shared" si="15"/>
        <v>0</v>
      </c>
      <c r="W29">
        <f t="shared" si="16"/>
        <v>-100</v>
      </c>
    </row>
    <row r="30" spans="1:23" ht="12.75" customHeight="1">
      <c r="A30" s="252"/>
      <c r="B30" s="286">
        <f t="shared" si="2"/>
        <v>24</v>
      </c>
      <c r="C30" s="57" t="e">
        <f t="shared" si="3"/>
        <v>#VALUE!</v>
      </c>
      <c r="D30" s="57" t="e">
        <f t="shared" si="4"/>
        <v>#VALUE!</v>
      </c>
      <c r="E30" s="287">
        <f t="shared" si="5"/>
        <v>0</v>
      </c>
      <c r="F30" s="288" t="e">
        <f t="shared" si="0"/>
        <v>#VALUE!</v>
      </c>
      <c r="G30" s="57">
        <f t="shared" si="6"/>
        <v>0</v>
      </c>
      <c r="H30" s="57">
        <f t="shared" si="7"/>
        <v>0</v>
      </c>
      <c r="I30" s="289">
        <f t="shared" si="8"/>
        <v>0.001</v>
      </c>
      <c r="J30" s="290"/>
      <c r="K30" s="290"/>
      <c r="L30" s="289">
        <f t="shared" si="9"/>
      </c>
      <c r="M30" s="291">
        <f t="shared" si="10"/>
      </c>
      <c r="N30" s="292">
        <f t="shared" si="1"/>
      </c>
      <c r="O30" s="284"/>
      <c r="P30" s="333" t="s">
        <v>110</v>
      </c>
      <c r="R30">
        <f t="shared" si="11"/>
        <v>0.001</v>
      </c>
      <c r="S30">
        <f t="shared" si="12"/>
        <v>-100</v>
      </c>
      <c r="T30">
        <f t="shared" si="13"/>
        <v>0</v>
      </c>
      <c r="U30">
        <f t="shared" si="14"/>
        <v>-100</v>
      </c>
      <c r="V30">
        <f t="shared" si="15"/>
        <v>0</v>
      </c>
      <c r="W30">
        <f t="shared" si="16"/>
        <v>-100</v>
      </c>
    </row>
    <row r="31" spans="1:23" ht="12.75" customHeight="1">
      <c r="A31" s="252"/>
      <c r="B31" s="286">
        <f t="shared" si="2"/>
        <v>25</v>
      </c>
      <c r="C31" s="57" t="e">
        <f t="shared" si="3"/>
        <v>#VALUE!</v>
      </c>
      <c r="D31" s="57" t="e">
        <f t="shared" si="4"/>
        <v>#VALUE!</v>
      </c>
      <c r="E31" s="287">
        <f t="shared" si="5"/>
        <v>0</v>
      </c>
      <c r="F31" s="288" t="e">
        <f t="shared" si="0"/>
        <v>#VALUE!</v>
      </c>
      <c r="G31" s="57">
        <f t="shared" si="6"/>
        <v>0</v>
      </c>
      <c r="H31" s="57">
        <f t="shared" si="7"/>
        <v>0</v>
      </c>
      <c r="I31" s="289">
        <f t="shared" si="8"/>
        <v>0.001</v>
      </c>
      <c r="J31" s="290"/>
      <c r="K31" s="290"/>
      <c r="L31" s="289">
        <f t="shared" si="9"/>
      </c>
      <c r="M31" s="291">
        <f t="shared" si="10"/>
      </c>
      <c r="N31" s="292">
        <f t="shared" si="1"/>
      </c>
      <c r="O31" s="284"/>
      <c r="P31" s="333" t="s">
        <v>113</v>
      </c>
      <c r="R31">
        <f t="shared" si="11"/>
        <v>0.001</v>
      </c>
      <c r="S31">
        <f t="shared" si="12"/>
        <v>-100</v>
      </c>
      <c r="T31">
        <f t="shared" si="13"/>
        <v>0</v>
      </c>
      <c r="U31">
        <f t="shared" si="14"/>
        <v>-100</v>
      </c>
      <c r="V31">
        <f t="shared" si="15"/>
        <v>0</v>
      </c>
      <c r="W31">
        <f t="shared" si="16"/>
        <v>-100</v>
      </c>
    </row>
    <row r="32" spans="1:23" ht="12.75" customHeight="1">
      <c r="A32" s="252"/>
      <c r="B32" s="286">
        <f t="shared" si="2"/>
        <v>26</v>
      </c>
      <c r="C32" s="57" t="e">
        <f t="shared" si="3"/>
        <v>#VALUE!</v>
      </c>
      <c r="D32" s="57" t="e">
        <f t="shared" si="4"/>
        <v>#VALUE!</v>
      </c>
      <c r="E32" s="287">
        <f t="shared" si="5"/>
        <v>0</v>
      </c>
      <c r="F32" s="288" t="e">
        <f t="shared" si="0"/>
        <v>#VALUE!</v>
      </c>
      <c r="G32" s="57">
        <f t="shared" si="6"/>
        <v>0</v>
      </c>
      <c r="H32" s="57">
        <f t="shared" si="7"/>
        <v>0</v>
      </c>
      <c r="I32" s="289">
        <f t="shared" si="8"/>
        <v>0.001</v>
      </c>
      <c r="J32" s="290"/>
      <c r="K32" s="290"/>
      <c r="L32" s="289">
        <f t="shared" si="9"/>
      </c>
      <c r="M32" s="291">
        <f t="shared" si="10"/>
      </c>
      <c r="N32" s="292">
        <f t="shared" si="1"/>
      </c>
      <c r="O32" s="294"/>
      <c r="P32" s="333" t="s">
        <v>114</v>
      </c>
      <c r="R32">
        <f t="shared" si="11"/>
        <v>0.001</v>
      </c>
      <c r="S32">
        <f t="shared" si="12"/>
        <v>-100</v>
      </c>
      <c r="T32">
        <f t="shared" si="13"/>
        <v>0</v>
      </c>
      <c r="U32">
        <f t="shared" si="14"/>
        <v>-100</v>
      </c>
      <c r="V32">
        <f t="shared" si="15"/>
        <v>0</v>
      </c>
      <c r="W32">
        <f t="shared" si="16"/>
        <v>-100</v>
      </c>
    </row>
    <row r="33" spans="1:23" ht="12.75" customHeight="1">
      <c r="A33" s="252"/>
      <c r="B33" s="286">
        <f t="shared" si="2"/>
        <v>27</v>
      </c>
      <c r="C33" s="57" t="e">
        <f t="shared" si="3"/>
        <v>#VALUE!</v>
      </c>
      <c r="D33" s="57" t="e">
        <f t="shared" si="4"/>
        <v>#VALUE!</v>
      </c>
      <c r="E33" s="287">
        <f t="shared" si="5"/>
        <v>0</v>
      </c>
      <c r="F33" s="288" t="e">
        <f t="shared" si="0"/>
        <v>#VALUE!</v>
      </c>
      <c r="G33" s="57">
        <f t="shared" si="6"/>
        <v>0</v>
      </c>
      <c r="H33" s="57">
        <f t="shared" si="7"/>
        <v>0</v>
      </c>
      <c r="I33" s="289">
        <f t="shared" si="8"/>
        <v>0.001</v>
      </c>
      <c r="J33" s="290"/>
      <c r="K33" s="290"/>
      <c r="L33" s="289">
        <f t="shared" si="9"/>
      </c>
      <c r="M33" s="291">
        <f t="shared" si="10"/>
      </c>
      <c r="N33" s="292">
        <f t="shared" si="1"/>
      </c>
      <c r="O33" s="284"/>
      <c r="P33" s="337" t="e">
        <f ca="1">SLOPE(INDIRECT("L2:L"&amp;TEXT(1+$P$19,"0")),INDIRECT("F2:F"&amp;TEXT(1+$P$19,"0")))</f>
        <v>#VALUE!</v>
      </c>
      <c r="R33">
        <f t="shared" si="11"/>
        <v>0.001</v>
      </c>
      <c r="S33">
        <f t="shared" si="12"/>
        <v>-100</v>
      </c>
      <c r="T33">
        <f t="shared" si="13"/>
        <v>0</v>
      </c>
      <c r="U33">
        <f t="shared" si="14"/>
        <v>-100</v>
      </c>
      <c r="V33">
        <f t="shared" si="15"/>
        <v>0</v>
      </c>
      <c r="W33">
        <f t="shared" si="16"/>
        <v>-100</v>
      </c>
    </row>
    <row r="34" spans="1:23" ht="12.75" customHeight="1">
      <c r="A34" s="252"/>
      <c r="B34" s="286">
        <f t="shared" si="2"/>
        <v>28</v>
      </c>
      <c r="C34" s="57" t="e">
        <f t="shared" si="3"/>
        <v>#VALUE!</v>
      </c>
      <c r="D34" s="57" t="e">
        <f t="shared" si="4"/>
        <v>#VALUE!</v>
      </c>
      <c r="E34" s="287">
        <f t="shared" si="5"/>
        <v>0</v>
      </c>
      <c r="F34" s="288" t="e">
        <f t="shared" si="0"/>
        <v>#VALUE!</v>
      </c>
      <c r="G34" s="57">
        <f t="shared" si="6"/>
        <v>0</v>
      </c>
      <c r="H34" s="57">
        <f t="shared" si="7"/>
        <v>0</v>
      </c>
      <c r="I34" s="289">
        <f t="shared" si="8"/>
        <v>0.001</v>
      </c>
      <c r="J34" s="290"/>
      <c r="K34" s="290"/>
      <c r="L34" s="289">
        <f t="shared" si="9"/>
      </c>
      <c r="M34" s="291">
        <f t="shared" si="10"/>
      </c>
      <c r="N34" s="292">
        <f t="shared" si="1"/>
      </c>
      <c r="O34" s="284"/>
      <c r="P34" s="333"/>
      <c r="R34">
        <f t="shared" si="11"/>
        <v>0.001</v>
      </c>
      <c r="S34">
        <f t="shared" si="12"/>
        <v>-100</v>
      </c>
      <c r="T34">
        <f t="shared" si="13"/>
        <v>0</v>
      </c>
      <c r="U34">
        <f t="shared" si="14"/>
        <v>-100</v>
      </c>
      <c r="V34">
        <f t="shared" si="15"/>
        <v>0</v>
      </c>
      <c r="W34">
        <f t="shared" si="16"/>
        <v>-100</v>
      </c>
    </row>
    <row r="35" spans="1:23" ht="12.75" customHeight="1">
      <c r="A35" s="252"/>
      <c r="B35" s="286">
        <f t="shared" si="2"/>
        <v>29</v>
      </c>
      <c r="C35" s="57" t="e">
        <f t="shared" si="3"/>
        <v>#VALUE!</v>
      </c>
      <c r="D35" s="57" t="e">
        <f t="shared" si="4"/>
        <v>#VALUE!</v>
      </c>
      <c r="E35" s="287">
        <f t="shared" si="5"/>
        <v>0</v>
      </c>
      <c r="F35" s="288" t="e">
        <f t="shared" si="0"/>
        <v>#VALUE!</v>
      </c>
      <c r="G35" s="57">
        <f t="shared" si="6"/>
        <v>0</v>
      </c>
      <c r="H35" s="57">
        <f t="shared" si="7"/>
        <v>0</v>
      </c>
      <c r="I35" s="289">
        <f t="shared" si="8"/>
        <v>0.001</v>
      </c>
      <c r="J35" s="290"/>
      <c r="K35" s="290"/>
      <c r="L35" s="289">
        <f t="shared" si="9"/>
      </c>
      <c r="M35" s="291">
        <f t="shared" si="10"/>
      </c>
      <c r="N35" s="292">
        <f t="shared" si="1"/>
      </c>
      <c r="O35" s="284"/>
      <c r="P35" s="333" t="s">
        <v>115</v>
      </c>
      <c r="R35">
        <f t="shared" si="11"/>
        <v>0.001</v>
      </c>
      <c r="S35">
        <f t="shared" si="12"/>
        <v>-100</v>
      </c>
      <c r="T35">
        <f t="shared" si="13"/>
        <v>0</v>
      </c>
      <c r="U35">
        <f t="shared" si="14"/>
        <v>-100</v>
      </c>
      <c r="V35">
        <f t="shared" si="15"/>
        <v>0</v>
      </c>
      <c r="W35">
        <f t="shared" si="16"/>
        <v>-100</v>
      </c>
    </row>
    <row r="36" spans="1:23" ht="12.75" customHeight="1">
      <c r="A36" s="252"/>
      <c r="B36" s="286">
        <f t="shared" si="2"/>
        <v>30</v>
      </c>
      <c r="C36" s="57" t="e">
        <f t="shared" si="3"/>
        <v>#VALUE!</v>
      </c>
      <c r="D36" s="57" t="e">
        <f t="shared" si="4"/>
        <v>#VALUE!</v>
      </c>
      <c r="E36" s="287">
        <f t="shared" si="5"/>
        <v>0</v>
      </c>
      <c r="F36" s="288" t="e">
        <f t="shared" si="0"/>
        <v>#VALUE!</v>
      </c>
      <c r="G36" s="57">
        <f t="shared" si="6"/>
        <v>0</v>
      </c>
      <c r="H36" s="57">
        <f t="shared" si="7"/>
        <v>0</v>
      </c>
      <c r="I36" s="289">
        <f t="shared" si="8"/>
        <v>0.001</v>
      </c>
      <c r="J36" s="290"/>
      <c r="K36" s="290"/>
      <c r="L36" s="289">
        <f t="shared" si="9"/>
      </c>
      <c r="M36" s="291">
        <f t="shared" si="10"/>
      </c>
      <c r="N36" s="292">
        <f t="shared" si="1"/>
      </c>
      <c r="O36" s="284"/>
      <c r="P36" s="338" t="e">
        <f ca="1">INTERCEPT(INDIRECT("L2:L"&amp;TEXT(1+$P$19,"0")),INDIRECT("F2:F"&amp;TEXT(1+$P$19,"0")))</f>
        <v>#VALUE!</v>
      </c>
      <c r="R36">
        <f t="shared" si="11"/>
        <v>0.001</v>
      </c>
      <c r="S36">
        <f t="shared" si="12"/>
        <v>-100</v>
      </c>
      <c r="T36">
        <f t="shared" si="13"/>
        <v>0</v>
      </c>
      <c r="U36">
        <f t="shared" si="14"/>
        <v>-100</v>
      </c>
      <c r="V36">
        <f t="shared" si="15"/>
        <v>0</v>
      </c>
      <c r="W36">
        <f t="shared" si="16"/>
        <v>-100</v>
      </c>
    </row>
    <row r="37" spans="1:23" ht="12.75" customHeight="1">
      <c r="A37" s="252"/>
      <c r="B37" s="286">
        <f t="shared" si="2"/>
        <v>31</v>
      </c>
      <c r="C37" s="57" t="e">
        <f t="shared" si="3"/>
        <v>#VALUE!</v>
      </c>
      <c r="D37" s="57" t="e">
        <f t="shared" si="4"/>
        <v>#VALUE!</v>
      </c>
      <c r="E37" s="287">
        <f t="shared" si="5"/>
        <v>0</v>
      </c>
      <c r="F37" s="288" t="e">
        <f t="shared" si="0"/>
        <v>#VALUE!</v>
      </c>
      <c r="G37" s="57">
        <f t="shared" si="6"/>
        <v>0</v>
      </c>
      <c r="H37" s="57">
        <f t="shared" si="7"/>
        <v>0</v>
      </c>
      <c r="I37" s="289">
        <f t="shared" si="8"/>
        <v>0.001</v>
      </c>
      <c r="J37" s="290"/>
      <c r="K37" s="290"/>
      <c r="L37" s="289">
        <f t="shared" si="9"/>
      </c>
      <c r="M37" s="291">
        <f t="shared" si="10"/>
      </c>
      <c r="N37" s="292">
        <f t="shared" si="1"/>
      </c>
      <c r="O37" s="284"/>
      <c r="P37" s="333"/>
      <c r="R37">
        <f t="shared" si="11"/>
        <v>0.001</v>
      </c>
      <c r="S37">
        <f t="shared" si="12"/>
        <v>-100</v>
      </c>
      <c r="T37">
        <f t="shared" si="13"/>
        <v>0</v>
      </c>
      <c r="U37">
        <f t="shared" si="14"/>
        <v>-100</v>
      </c>
      <c r="V37">
        <f t="shared" si="15"/>
        <v>0</v>
      </c>
      <c r="W37">
        <f t="shared" si="16"/>
        <v>-100</v>
      </c>
    </row>
    <row r="38" spans="1:23" ht="12.75" customHeight="1">
      <c r="A38" s="252"/>
      <c r="B38" s="286">
        <f t="shared" si="2"/>
        <v>32</v>
      </c>
      <c r="C38" s="57" t="e">
        <f t="shared" si="3"/>
        <v>#VALUE!</v>
      </c>
      <c r="D38" s="57" t="e">
        <f t="shared" si="4"/>
        <v>#VALUE!</v>
      </c>
      <c r="E38" s="287">
        <f t="shared" si="5"/>
        <v>0</v>
      </c>
      <c r="F38" s="288" t="e">
        <f t="shared" si="0"/>
        <v>#VALUE!</v>
      </c>
      <c r="G38" s="57">
        <f t="shared" si="6"/>
        <v>0</v>
      </c>
      <c r="H38" s="57">
        <f t="shared" si="7"/>
        <v>0</v>
      </c>
      <c r="I38" s="289">
        <f t="shared" si="8"/>
        <v>0.001</v>
      </c>
      <c r="J38" s="290"/>
      <c r="K38" s="290"/>
      <c r="L38" s="289">
        <f t="shared" si="9"/>
      </c>
      <c r="M38" s="291">
        <f t="shared" si="10"/>
      </c>
      <c r="N38" s="292">
        <f t="shared" si="1"/>
      </c>
      <c r="O38" s="284"/>
      <c r="P38" s="333"/>
      <c r="R38">
        <f t="shared" si="11"/>
        <v>0.001</v>
      </c>
      <c r="S38">
        <f t="shared" si="12"/>
        <v>-100</v>
      </c>
      <c r="T38">
        <f t="shared" si="13"/>
        <v>0</v>
      </c>
      <c r="U38">
        <f t="shared" si="14"/>
        <v>-100</v>
      </c>
      <c r="V38">
        <f t="shared" si="15"/>
        <v>0</v>
      </c>
      <c r="W38">
        <f t="shared" si="16"/>
        <v>-100</v>
      </c>
    </row>
    <row r="39" spans="1:23" ht="12.75" customHeight="1">
      <c r="A39" s="252"/>
      <c r="B39" s="286">
        <f t="shared" si="2"/>
        <v>33</v>
      </c>
      <c r="C39" s="57" t="e">
        <f t="shared" si="3"/>
        <v>#VALUE!</v>
      </c>
      <c r="D39" s="57" t="e">
        <f t="shared" si="4"/>
        <v>#VALUE!</v>
      </c>
      <c r="E39" s="287">
        <f t="shared" si="5"/>
        <v>0</v>
      </c>
      <c r="F39" s="288" t="e">
        <f t="shared" si="0"/>
        <v>#VALUE!</v>
      </c>
      <c r="G39" s="57">
        <f t="shared" si="6"/>
        <v>0</v>
      </c>
      <c r="H39" s="57">
        <f t="shared" si="7"/>
        <v>0</v>
      </c>
      <c r="I39" s="289">
        <f t="shared" si="8"/>
        <v>0.001</v>
      </c>
      <c r="J39" s="290"/>
      <c r="K39" s="290"/>
      <c r="L39" s="289">
        <f t="shared" si="9"/>
      </c>
      <c r="M39" s="291">
        <f t="shared" si="10"/>
      </c>
      <c r="N39" s="292">
        <f t="shared" si="1"/>
      </c>
      <c r="O39" s="284"/>
      <c r="P39" s="333" t="e">
        <f>CONCATENATE(TEXT(P25*10,"0,0")," Tore pro Stärkedifferenz von 10")</f>
        <v>#VALUE!</v>
      </c>
      <c r="R39">
        <f t="shared" si="11"/>
        <v>0.001</v>
      </c>
      <c r="S39">
        <f t="shared" si="12"/>
        <v>-100</v>
      </c>
      <c r="T39">
        <f t="shared" si="13"/>
        <v>0</v>
      </c>
      <c r="U39">
        <f t="shared" si="14"/>
        <v>-100</v>
      </c>
      <c r="V39">
        <f t="shared" si="15"/>
        <v>0</v>
      </c>
      <c r="W39">
        <f t="shared" si="16"/>
        <v>-100</v>
      </c>
    </row>
    <row r="40" spans="1:23" ht="12.75" customHeight="1" thickBot="1">
      <c r="A40" s="252"/>
      <c r="B40" s="295">
        <f t="shared" si="2"/>
        <v>34</v>
      </c>
      <c r="C40" s="296" t="e">
        <f t="shared" si="3"/>
        <v>#VALUE!</v>
      </c>
      <c r="D40" s="296" t="e">
        <f t="shared" si="4"/>
        <v>#VALUE!</v>
      </c>
      <c r="E40" s="297">
        <f t="shared" si="5"/>
        <v>0</v>
      </c>
      <c r="F40" s="298" t="e">
        <f t="shared" si="0"/>
        <v>#VALUE!</v>
      </c>
      <c r="G40" s="296">
        <f t="shared" si="6"/>
        <v>0</v>
      </c>
      <c r="H40" s="299">
        <f t="shared" si="7"/>
        <v>0</v>
      </c>
      <c r="I40" s="300">
        <f t="shared" si="8"/>
        <v>0.001</v>
      </c>
      <c r="J40" s="301"/>
      <c r="K40" s="301"/>
      <c r="L40" s="300">
        <f t="shared" si="9"/>
      </c>
      <c r="M40" s="302">
        <f t="shared" si="10"/>
      </c>
      <c r="N40" s="303">
        <f t="shared" si="1"/>
      </c>
      <c r="O40" s="284"/>
      <c r="P40" s="336"/>
      <c r="R40">
        <f t="shared" si="11"/>
        <v>0.001</v>
      </c>
      <c r="S40">
        <f t="shared" si="12"/>
        <v>-100</v>
      </c>
      <c r="T40">
        <f t="shared" si="13"/>
        <v>0</v>
      </c>
      <c r="U40">
        <f t="shared" si="14"/>
        <v>-100</v>
      </c>
      <c r="V40">
        <f t="shared" si="15"/>
        <v>0</v>
      </c>
      <c r="W40">
        <f t="shared" si="16"/>
        <v>-100</v>
      </c>
    </row>
    <row r="41" spans="1:20" ht="12.75" customHeight="1" thickBot="1">
      <c r="A41" s="304"/>
      <c r="B41" s="305"/>
      <c r="C41" s="306" t="e">
        <f ca="1">AVERAGE(INDIRECT("C7:C"&amp;TEXT(6+$P$19,"0")))</f>
        <v>#VALUE!</v>
      </c>
      <c r="D41" s="306" t="e">
        <f ca="1">AVERAGE(INDIRECT("D7:D"&amp;TEXT(6+$P$19,"0")))</f>
        <v>#VALUE!</v>
      </c>
      <c r="E41" s="307"/>
      <c r="F41" s="308" t="e">
        <f ca="1">AVERAGE(INDIRECT("F7:F"&amp;TEXT(6+$P$19,"0")))</f>
        <v>#VALUE!</v>
      </c>
      <c r="G41" s="306">
        <f>SUM(G7:G40)</f>
        <v>0</v>
      </c>
      <c r="H41" s="306">
        <f>SUM(H7:H40)</f>
        <v>0</v>
      </c>
      <c r="I41" s="272"/>
      <c r="J41" s="306">
        <f>SUM(J7:J40)</f>
        <v>0</v>
      </c>
      <c r="K41" s="306">
        <f>SUM(K7:K40)</f>
        <v>0</v>
      </c>
      <c r="L41" s="272"/>
      <c r="M41" s="309" t="e">
        <f>AVERAGE(M7:M40)</f>
        <v>#DIV/0!</v>
      </c>
      <c r="N41" s="310" t="e">
        <f>AVERAGE(N7:N40)</f>
        <v>#DIV/0!</v>
      </c>
      <c r="O41" s="311"/>
      <c r="P41" s="333" t="e">
        <f>CONCATENATE(TEXT(P33*10,"0,0")," Chancen pro Stärkedifferenz von 10")</f>
        <v>#VALUE!</v>
      </c>
      <c r="Q41" t="s">
        <v>118</v>
      </c>
      <c r="T41"/>
    </row>
    <row r="42" spans="1:19" ht="12.75" customHeight="1">
      <c r="A42" s="251"/>
      <c r="B42" s="251"/>
      <c r="C42" s="251"/>
      <c r="D42" s="251"/>
      <c r="E42" s="252"/>
      <c r="F42" s="252"/>
      <c r="G42" s="252"/>
      <c r="H42" s="252"/>
      <c r="I42" s="253"/>
      <c r="J42" s="252"/>
      <c r="K42" s="252"/>
      <c r="L42" s="252"/>
      <c r="M42" s="252"/>
      <c r="N42" s="304"/>
      <c r="O42" s="304"/>
      <c r="P42" s="20"/>
      <c r="Q42" s="312"/>
      <c r="R42" s="312"/>
      <c r="S42" s="312"/>
    </row>
    <row r="43" spans="1:15" ht="12.75" customHeight="1">
      <c r="A43" s="313"/>
      <c r="B43" s="313"/>
      <c r="C43" s="313"/>
      <c r="D43" s="314"/>
      <c r="E43" s="252"/>
      <c r="F43" s="252"/>
      <c r="G43" s="252"/>
      <c r="H43" s="252"/>
      <c r="I43" s="253"/>
      <c r="J43" s="252"/>
      <c r="K43" s="252"/>
      <c r="L43" s="252"/>
      <c r="M43" s="252"/>
      <c r="N43" s="252"/>
      <c r="O43" s="252"/>
    </row>
    <row r="44" spans="1:15" ht="58.5" customHeight="1">
      <c r="A44" s="314"/>
      <c r="B44" s="314"/>
      <c r="C44" s="251"/>
      <c r="D44" s="251"/>
      <c r="E44" s="252"/>
      <c r="F44" s="252"/>
      <c r="G44" s="252"/>
      <c r="H44" s="252"/>
      <c r="I44" s="253"/>
      <c r="J44" s="252"/>
      <c r="K44" s="252"/>
      <c r="L44" s="252"/>
      <c r="M44" s="252"/>
      <c r="N44" s="252"/>
      <c r="O44" s="252"/>
    </row>
    <row r="45" spans="1:15" ht="58.5" customHeight="1">
      <c r="A45" s="315"/>
      <c r="B45" s="251"/>
      <c r="C45" s="251"/>
      <c r="D45" s="251"/>
      <c r="E45" s="252"/>
      <c r="F45" s="252"/>
      <c r="G45" s="252"/>
      <c r="H45" s="252"/>
      <c r="I45" s="253"/>
      <c r="J45" s="252"/>
      <c r="K45" s="252"/>
      <c r="L45" s="252"/>
      <c r="M45" s="252"/>
      <c r="N45" s="252"/>
      <c r="O45" s="252"/>
    </row>
    <row r="46" spans="1:15" ht="58.5" customHeight="1">
      <c r="A46" s="251"/>
      <c r="B46" s="251"/>
      <c r="C46" s="251"/>
      <c r="D46" s="251"/>
      <c r="E46" s="252"/>
      <c r="F46" s="252"/>
      <c r="G46" s="252"/>
      <c r="H46" s="252"/>
      <c r="I46" s="253"/>
      <c r="J46" s="252"/>
      <c r="K46" s="252"/>
      <c r="L46" s="252"/>
      <c r="M46" s="252"/>
      <c r="N46" s="252"/>
      <c r="O46" s="252"/>
    </row>
    <row r="47" spans="1:19" ht="58.5" customHeight="1">
      <c r="A47" s="313"/>
      <c r="B47" s="313"/>
      <c r="C47" s="313"/>
      <c r="D47" s="314"/>
      <c r="E47" s="276"/>
      <c r="F47" s="276"/>
      <c r="G47" s="276"/>
      <c r="H47" s="276"/>
      <c r="I47" s="316"/>
      <c r="J47" s="276"/>
      <c r="K47" s="276"/>
      <c r="L47" s="276"/>
      <c r="M47" s="276"/>
      <c r="N47" s="276"/>
      <c r="O47" s="276"/>
      <c r="P47" s="317"/>
      <c r="Q47" s="317"/>
      <c r="R47" s="317"/>
      <c r="S47" s="317"/>
    </row>
    <row r="48" spans="1:19" ht="58.5" customHeight="1">
      <c r="A48" s="314"/>
      <c r="B48" s="314"/>
      <c r="C48" s="251"/>
      <c r="D48" s="251"/>
      <c r="E48" s="262"/>
      <c r="F48" s="262"/>
      <c r="G48" s="262"/>
      <c r="H48" s="262"/>
      <c r="I48" s="263"/>
      <c r="J48" s="262"/>
      <c r="K48" s="262"/>
      <c r="L48" s="262"/>
      <c r="M48" s="262"/>
      <c r="N48" s="262"/>
      <c r="O48" s="262"/>
      <c r="P48" s="56"/>
      <c r="Q48" s="55"/>
      <c r="R48" s="55"/>
      <c r="S48" s="55"/>
    </row>
    <row r="49" spans="1:19" ht="58.5" customHeight="1">
      <c r="A49" s="315"/>
      <c r="B49" s="251"/>
      <c r="C49" s="251"/>
      <c r="D49" s="251"/>
      <c r="E49" s="262"/>
      <c r="F49" s="262"/>
      <c r="G49" s="262"/>
      <c r="H49" s="262"/>
      <c r="I49" s="263"/>
      <c r="J49" s="262"/>
      <c r="K49" s="262"/>
      <c r="L49" s="262"/>
      <c r="M49" s="262"/>
      <c r="N49" s="262"/>
      <c r="O49" s="262"/>
      <c r="P49" s="56"/>
      <c r="Q49" s="55"/>
      <c r="R49" s="55"/>
      <c r="S49" s="55"/>
    </row>
    <row r="50" spans="1:19" ht="58.5" customHeight="1">
      <c r="A50" s="251"/>
      <c r="B50" s="251"/>
      <c r="C50" s="251"/>
      <c r="D50" s="251"/>
      <c r="E50" s="262"/>
      <c r="F50" s="262"/>
      <c r="G50" s="262"/>
      <c r="H50" s="262"/>
      <c r="I50" s="263"/>
      <c r="J50" s="262"/>
      <c r="K50" s="262"/>
      <c r="L50" s="262"/>
      <c r="M50" s="262"/>
      <c r="N50" s="262"/>
      <c r="O50" s="262"/>
      <c r="P50" s="56"/>
      <c r="Q50" s="55"/>
      <c r="R50" s="55"/>
      <c r="S50" s="55"/>
    </row>
    <row r="51" spans="1:19" ht="58.5" customHeight="1">
      <c r="A51" s="313"/>
      <c r="B51" s="313"/>
      <c r="C51" s="313"/>
      <c r="D51" s="314"/>
      <c r="E51" s="262"/>
      <c r="F51" s="262"/>
      <c r="G51" s="262"/>
      <c r="H51" s="262"/>
      <c r="I51" s="263"/>
      <c r="J51" s="262"/>
      <c r="K51" s="262"/>
      <c r="L51" s="262"/>
      <c r="M51" s="262"/>
      <c r="N51" s="262"/>
      <c r="O51" s="262"/>
      <c r="P51" s="56"/>
      <c r="Q51" s="55"/>
      <c r="R51" s="55"/>
      <c r="S51" s="55"/>
    </row>
    <row r="52" spans="1:19" ht="58.5" customHeight="1">
      <c r="A52" s="314"/>
      <c r="B52" s="314"/>
      <c r="C52" s="251"/>
      <c r="D52" s="251"/>
      <c r="E52" s="262"/>
      <c r="F52" s="262"/>
      <c r="G52" s="262"/>
      <c r="H52" s="262"/>
      <c r="I52" s="263"/>
      <c r="J52" s="262"/>
      <c r="K52" s="262"/>
      <c r="L52" s="262"/>
      <c r="M52" s="262"/>
      <c r="N52" s="262"/>
      <c r="O52" s="262"/>
      <c r="P52" s="56"/>
      <c r="Q52" s="55"/>
      <c r="R52" s="55"/>
      <c r="S52" s="55"/>
    </row>
    <row r="53" spans="1:19" ht="58.5" customHeight="1">
      <c r="A53" s="315"/>
      <c r="B53" s="251"/>
      <c r="C53" s="251"/>
      <c r="D53" s="251"/>
      <c r="E53" s="262"/>
      <c r="F53" s="262"/>
      <c r="G53" s="262"/>
      <c r="H53" s="262"/>
      <c r="I53" s="263"/>
      <c r="J53" s="262"/>
      <c r="K53" s="262"/>
      <c r="L53" s="262"/>
      <c r="M53" s="262"/>
      <c r="N53" s="262"/>
      <c r="O53" s="262"/>
      <c r="P53" s="56"/>
      <c r="Q53" s="55"/>
      <c r="R53" s="55"/>
      <c r="S53" s="55"/>
    </row>
    <row r="54" spans="1:19" ht="58.5" customHeight="1">
      <c r="A54" s="251"/>
      <c r="B54" s="251"/>
      <c r="C54" s="251"/>
      <c r="D54" s="251"/>
      <c r="E54" s="262"/>
      <c r="F54" s="262"/>
      <c r="G54" s="262"/>
      <c r="H54" s="262"/>
      <c r="I54" s="263"/>
      <c r="J54" s="262"/>
      <c r="K54" s="262"/>
      <c r="L54" s="262"/>
      <c r="M54" s="262"/>
      <c r="N54" s="262"/>
      <c r="O54" s="262"/>
      <c r="P54" s="56"/>
      <c r="Q54" s="55"/>
      <c r="R54" s="55"/>
      <c r="S54" s="55"/>
    </row>
    <row r="55" spans="1:19" ht="58.5" customHeight="1">
      <c r="A55" s="313"/>
      <c r="B55" s="313"/>
      <c r="C55" s="313"/>
      <c r="D55" s="314"/>
      <c r="E55" s="262"/>
      <c r="F55" s="262"/>
      <c r="G55" s="262"/>
      <c r="H55" s="262"/>
      <c r="I55" s="263"/>
      <c r="J55" s="262"/>
      <c r="K55" s="262"/>
      <c r="L55" s="262"/>
      <c r="M55" s="262"/>
      <c r="N55" s="262"/>
      <c r="O55" s="262"/>
      <c r="P55" s="56"/>
      <c r="Q55" s="55"/>
      <c r="R55" s="55"/>
      <c r="S55" s="55"/>
    </row>
    <row r="56" spans="1:19" ht="58.5" customHeight="1">
      <c r="A56" s="314"/>
      <c r="B56" s="314"/>
      <c r="C56" s="251"/>
      <c r="D56" s="251"/>
      <c r="E56" s="262"/>
      <c r="F56" s="262"/>
      <c r="G56" s="262"/>
      <c r="H56" s="262"/>
      <c r="I56" s="263"/>
      <c r="J56" s="262"/>
      <c r="K56" s="262"/>
      <c r="L56" s="262"/>
      <c r="M56" s="262"/>
      <c r="N56" s="262"/>
      <c r="O56" s="262"/>
      <c r="P56" s="56"/>
      <c r="Q56" s="55"/>
      <c r="R56" s="55"/>
      <c r="S56" s="55"/>
    </row>
    <row r="57" spans="1:19" ht="58.5" customHeight="1">
      <c r="A57" s="315"/>
      <c r="B57" s="251"/>
      <c r="C57" s="251"/>
      <c r="D57" s="251"/>
      <c r="E57" s="262"/>
      <c r="F57" s="262"/>
      <c r="G57" s="262"/>
      <c r="H57" s="262"/>
      <c r="I57" s="263"/>
      <c r="J57" s="262"/>
      <c r="K57" s="262"/>
      <c r="L57" s="262"/>
      <c r="M57" s="262"/>
      <c r="N57" s="262"/>
      <c r="O57" s="262"/>
      <c r="P57" s="56"/>
      <c r="Q57" s="55"/>
      <c r="R57" s="55"/>
      <c r="S57" s="55"/>
    </row>
    <row r="58" spans="1:19" ht="30.75" customHeight="1">
      <c r="A58" s="251"/>
      <c r="B58" s="251"/>
      <c r="C58" s="251"/>
      <c r="D58" s="251"/>
      <c r="E58" s="262"/>
      <c r="F58" s="262"/>
      <c r="G58" s="262"/>
      <c r="H58" s="262"/>
      <c r="I58" s="263"/>
      <c r="J58" s="262"/>
      <c r="K58" s="262"/>
      <c r="L58" s="262"/>
      <c r="M58" s="262"/>
      <c r="N58" s="262"/>
      <c r="O58" s="262"/>
      <c r="P58" s="56"/>
      <c r="Q58" s="55"/>
      <c r="R58" s="55"/>
      <c r="S58" s="55"/>
    </row>
    <row r="59" spans="1:19" ht="30.75" customHeight="1">
      <c r="A59" s="318"/>
      <c r="B59" s="318"/>
      <c r="C59" s="318"/>
      <c r="D59" s="314"/>
      <c r="E59" s="262"/>
      <c r="F59" s="262"/>
      <c r="G59" s="262"/>
      <c r="H59" s="262"/>
      <c r="I59" s="263"/>
      <c r="J59" s="262"/>
      <c r="K59" s="262"/>
      <c r="L59" s="262"/>
      <c r="M59" s="262"/>
      <c r="N59" s="262"/>
      <c r="O59" s="262"/>
      <c r="P59" s="56"/>
      <c r="Q59" s="55"/>
      <c r="R59" s="55"/>
      <c r="S59" s="55"/>
    </row>
    <row r="60" spans="1:19" ht="30.75" customHeight="1">
      <c r="A60" s="314"/>
      <c r="B60" s="314"/>
      <c r="C60" s="251"/>
      <c r="D60" s="251"/>
      <c r="E60" s="262"/>
      <c r="F60" s="262"/>
      <c r="G60" s="262"/>
      <c r="H60" s="262"/>
      <c r="I60" s="263"/>
      <c r="J60" s="262"/>
      <c r="K60" s="262"/>
      <c r="L60" s="262"/>
      <c r="M60" s="262"/>
      <c r="N60" s="262"/>
      <c r="O60" s="262"/>
      <c r="P60" s="56"/>
      <c r="Q60" s="55"/>
      <c r="R60" s="55"/>
      <c r="S60" s="55"/>
    </row>
    <row r="61" spans="1:19" ht="30.75" customHeight="1">
      <c r="A61" s="315"/>
      <c r="B61" s="251"/>
      <c r="C61" s="251"/>
      <c r="D61" s="251"/>
      <c r="E61" s="262"/>
      <c r="F61" s="262"/>
      <c r="G61" s="262"/>
      <c r="H61" s="262"/>
      <c r="I61" s="263"/>
      <c r="J61" s="262"/>
      <c r="K61" s="262"/>
      <c r="L61" s="262"/>
      <c r="M61" s="262"/>
      <c r="N61" s="262"/>
      <c r="O61" s="262"/>
      <c r="P61" s="56"/>
      <c r="Q61" s="55"/>
      <c r="R61" s="55"/>
      <c r="S61" s="55"/>
    </row>
    <row r="62" spans="1:19" ht="30.75" customHeight="1">
      <c r="A62" s="251"/>
      <c r="B62" s="251"/>
      <c r="C62" s="251"/>
      <c r="D62" s="251"/>
      <c r="E62" s="262"/>
      <c r="F62" s="262"/>
      <c r="G62" s="262"/>
      <c r="H62" s="262"/>
      <c r="I62" s="263"/>
      <c r="J62" s="262"/>
      <c r="K62" s="262"/>
      <c r="L62" s="262"/>
      <c r="M62" s="262"/>
      <c r="N62" s="262"/>
      <c r="O62" s="262"/>
      <c r="P62" s="56"/>
      <c r="Q62" s="55"/>
      <c r="R62" s="55"/>
      <c r="S62" s="55"/>
    </row>
    <row r="63" spans="1:19" ht="30.75" customHeight="1">
      <c r="A63" s="313"/>
      <c r="B63" s="313"/>
      <c r="C63" s="313"/>
      <c r="D63" s="314"/>
      <c r="E63" s="262"/>
      <c r="F63" s="262"/>
      <c r="G63" s="262"/>
      <c r="H63" s="262"/>
      <c r="I63" s="263"/>
      <c r="J63" s="262"/>
      <c r="K63" s="262"/>
      <c r="L63" s="262"/>
      <c r="M63" s="262"/>
      <c r="N63" s="262"/>
      <c r="O63" s="262"/>
      <c r="P63" s="56"/>
      <c r="Q63" s="55"/>
      <c r="R63" s="55"/>
      <c r="S63" s="55"/>
    </row>
    <row r="64" spans="1:19" ht="30.75" customHeight="1">
      <c r="A64" s="314"/>
      <c r="B64" s="314"/>
      <c r="C64" s="251"/>
      <c r="D64" s="251"/>
      <c r="E64" s="262"/>
      <c r="F64" s="262"/>
      <c r="G64" s="262"/>
      <c r="H64" s="262"/>
      <c r="I64" s="263"/>
      <c r="J64" s="262"/>
      <c r="K64" s="262"/>
      <c r="L64" s="262"/>
      <c r="M64" s="262"/>
      <c r="N64" s="262"/>
      <c r="O64" s="262"/>
      <c r="P64" s="56"/>
      <c r="Q64" s="55"/>
      <c r="R64" s="55"/>
      <c r="S64" s="55"/>
    </row>
    <row r="65" spans="1:20" s="322" customFormat="1" ht="30.75" customHeight="1">
      <c r="A65" s="319"/>
      <c r="B65" s="319"/>
      <c r="C65" s="319"/>
      <c r="D65" s="319"/>
      <c r="E65" s="320"/>
      <c r="F65" s="320"/>
      <c r="G65" s="320"/>
      <c r="H65" s="320"/>
      <c r="I65" s="321"/>
      <c r="J65" s="320"/>
      <c r="K65" s="320"/>
      <c r="L65" s="320"/>
      <c r="M65" s="320"/>
      <c r="N65" s="320"/>
      <c r="O65" s="320"/>
      <c r="P65" s="153"/>
      <c r="T65" s="153"/>
    </row>
    <row r="66" spans="1:20" s="322" customFormat="1" ht="12.75" customHeight="1">
      <c r="A66" s="323" t="s">
        <v>17</v>
      </c>
      <c r="B66" s="324"/>
      <c r="C66" s="325" t="s">
        <v>116</v>
      </c>
      <c r="D66" s="325"/>
      <c r="E66" s="326"/>
      <c r="F66" s="323" t="s">
        <v>117</v>
      </c>
      <c r="G66" s="153"/>
      <c r="H66" s="153"/>
      <c r="I66" s="327"/>
      <c r="J66" s="153"/>
      <c r="K66" s="153"/>
      <c r="L66" s="153"/>
      <c r="M66" s="153"/>
      <c r="N66" s="153"/>
      <c r="O66" s="153"/>
      <c r="P66" s="153"/>
      <c r="T66" s="153"/>
    </row>
    <row r="67" spans="14:20" s="4" customFormat="1" ht="12.75" customHeight="1">
      <c r="N67" s="332"/>
      <c r="O67" s="332"/>
      <c r="P67" s="349">
        <f aca="true" t="shared" si="17" ref="P67:P82">IF(LEFT(C67,8)=LEFT(F71,8),LEFT(F71,8),"")</f>
      </c>
      <c r="Q67" s="349">
        <f aca="true" t="shared" si="18" ref="Q67:Q74">IF(LEN(P67)&gt;0,P67,Q68)</f>
        <v>0</v>
      </c>
      <c r="R67" s="349" t="s">
        <v>118</v>
      </c>
      <c r="T67" s="332"/>
    </row>
    <row r="68" spans="14:20" s="4" customFormat="1" ht="12.75" customHeight="1">
      <c r="N68" s="332"/>
      <c r="O68" s="332"/>
      <c r="P68" s="349">
        <f t="shared" si="17"/>
      </c>
      <c r="Q68" s="349">
        <f t="shared" si="18"/>
        <v>0</v>
      </c>
      <c r="R68" s="349" t="s">
        <v>118</v>
      </c>
      <c r="T68" s="332"/>
    </row>
    <row r="69" spans="14:20" s="4" customFormat="1" ht="12.75" customHeight="1">
      <c r="N69" s="332"/>
      <c r="O69" s="332"/>
      <c r="P69" s="349">
        <f t="shared" si="17"/>
      </c>
      <c r="Q69" s="349">
        <f t="shared" si="18"/>
        <v>0</v>
      </c>
      <c r="R69" s="349" t="s">
        <v>118</v>
      </c>
      <c r="T69" s="332"/>
    </row>
    <row r="70" spans="14:20" s="4" customFormat="1" ht="12.75" customHeight="1">
      <c r="N70" s="332"/>
      <c r="O70" s="332"/>
      <c r="P70" s="349">
        <f t="shared" si="17"/>
      </c>
      <c r="Q70" s="349">
        <f t="shared" si="18"/>
        <v>0</v>
      </c>
      <c r="R70" s="349" t="s">
        <v>118</v>
      </c>
      <c r="T70" s="332"/>
    </row>
    <row r="71" spans="14:20" s="4" customFormat="1" ht="12.75" customHeight="1">
      <c r="N71" s="332"/>
      <c r="O71" s="332"/>
      <c r="P71" s="349">
        <f t="shared" si="17"/>
      </c>
      <c r="Q71" s="349">
        <f t="shared" si="18"/>
        <v>0</v>
      </c>
      <c r="R71" s="349" t="s">
        <v>118</v>
      </c>
      <c r="T71" s="332"/>
    </row>
    <row r="72" spans="14:20" s="4" customFormat="1" ht="12.75" customHeight="1">
      <c r="N72" s="332"/>
      <c r="O72" s="332"/>
      <c r="P72" s="349">
        <f t="shared" si="17"/>
      </c>
      <c r="Q72" s="349">
        <f t="shared" si="18"/>
        <v>0</v>
      </c>
      <c r="R72" s="349" t="s">
        <v>118</v>
      </c>
      <c r="T72" s="332"/>
    </row>
    <row r="73" spans="14:20" s="4" customFormat="1" ht="12.75" customHeight="1">
      <c r="N73" s="332"/>
      <c r="O73" s="332"/>
      <c r="P73" s="349">
        <f t="shared" si="17"/>
      </c>
      <c r="Q73" s="349">
        <f t="shared" si="18"/>
        <v>0</v>
      </c>
      <c r="R73" s="349" t="s">
        <v>118</v>
      </c>
      <c r="T73" s="332"/>
    </row>
    <row r="74" spans="14:20" s="4" customFormat="1" ht="12.75" customHeight="1">
      <c r="N74" s="332"/>
      <c r="O74" s="332"/>
      <c r="P74" s="349">
        <f t="shared" si="17"/>
      </c>
      <c r="Q74" s="349">
        <f t="shared" si="18"/>
        <v>0</v>
      </c>
      <c r="R74" s="349" t="s">
        <v>118</v>
      </c>
      <c r="T74" s="332"/>
    </row>
    <row r="75" spans="14:20" s="4" customFormat="1" ht="12.75" customHeight="1">
      <c r="N75" s="332"/>
      <c r="O75" s="332"/>
      <c r="P75" s="349">
        <f t="shared" si="17"/>
      </c>
      <c r="Q75" s="349">
        <f>IF(LEN(P75)&gt;0,P75,Q76)</f>
        <v>0</v>
      </c>
      <c r="R75" s="349" t="s">
        <v>118</v>
      </c>
      <c r="T75" s="332"/>
    </row>
    <row r="76" spans="14:20" s="4" customFormat="1" ht="12.75" customHeight="1">
      <c r="N76" s="332"/>
      <c r="O76" s="332"/>
      <c r="P76" s="332">
        <f t="shared" si="17"/>
      </c>
      <c r="T76" s="332"/>
    </row>
    <row r="77" spans="14:20" s="4" customFormat="1" ht="12.75" customHeight="1">
      <c r="N77" s="332"/>
      <c r="O77" s="332"/>
      <c r="P77" s="332">
        <f t="shared" si="17"/>
      </c>
      <c r="T77" s="332"/>
    </row>
    <row r="78" spans="14:20" s="4" customFormat="1" ht="12.75" customHeight="1">
      <c r="N78" s="332"/>
      <c r="O78" s="332"/>
      <c r="P78" s="332">
        <f t="shared" si="17"/>
      </c>
      <c r="T78" s="332"/>
    </row>
    <row r="79" spans="14:20" s="4" customFormat="1" ht="12.75" customHeight="1">
      <c r="N79" s="332"/>
      <c r="O79" s="332"/>
      <c r="P79" s="332">
        <f t="shared" si="17"/>
      </c>
      <c r="T79" s="332"/>
    </row>
    <row r="80" spans="14:20" s="4" customFormat="1" ht="12.75" customHeight="1">
      <c r="N80" s="332"/>
      <c r="O80" s="332"/>
      <c r="P80" s="332">
        <f t="shared" si="17"/>
      </c>
      <c r="T80" s="332"/>
    </row>
    <row r="81" spans="14:20" s="4" customFormat="1" ht="12.75" customHeight="1">
      <c r="N81" s="332"/>
      <c r="O81" s="332"/>
      <c r="P81" s="332">
        <f t="shared" si="17"/>
      </c>
      <c r="T81" s="332"/>
    </row>
    <row r="82" spans="14:20" s="4" customFormat="1" ht="12.75" customHeight="1">
      <c r="N82" s="332"/>
      <c r="O82" s="332"/>
      <c r="P82" s="332">
        <f t="shared" si="17"/>
      </c>
      <c r="T82" s="332"/>
    </row>
    <row r="83" spans="14:20" s="4" customFormat="1" ht="12.75" customHeight="1">
      <c r="N83" s="332"/>
      <c r="O83" s="332"/>
      <c r="P83" s="332"/>
      <c r="T83" s="332"/>
    </row>
    <row r="84" spans="14:20" s="4" customFormat="1" ht="12.75" customHeight="1">
      <c r="N84" s="332"/>
      <c r="O84" s="332"/>
      <c r="P84" s="332"/>
      <c r="T84" s="332"/>
    </row>
    <row r="85" spans="14:20" s="4" customFormat="1" ht="12.75" customHeight="1">
      <c r="N85" s="332"/>
      <c r="O85" s="332"/>
      <c r="P85" s="332"/>
      <c r="T85" s="332"/>
    </row>
    <row r="86" spans="14:20" s="4" customFormat="1" ht="12.75" customHeight="1">
      <c r="N86" s="332"/>
      <c r="O86" s="332"/>
      <c r="P86" s="332"/>
      <c r="T86" s="332"/>
    </row>
    <row r="87" spans="14:20" s="4" customFormat="1" ht="12.75" customHeight="1">
      <c r="N87" s="332"/>
      <c r="O87" s="332"/>
      <c r="P87" s="332"/>
      <c r="T87" s="332"/>
    </row>
    <row r="88" spans="14:20" s="4" customFormat="1" ht="12.75" customHeight="1">
      <c r="N88" s="332"/>
      <c r="O88" s="332"/>
      <c r="P88" s="332"/>
      <c r="T88" s="332"/>
    </row>
    <row r="89" spans="14:20" s="4" customFormat="1" ht="12.75" customHeight="1">
      <c r="N89" s="332"/>
      <c r="O89" s="332"/>
      <c r="P89" s="332"/>
      <c r="T89" s="332"/>
    </row>
    <row r="90" spans="14:20" s="4" customFormat="1" ht="12.75" customHeight="1">
      <c r="N90" s="332"/>
      <c r="O90" s="332"/>
      <c r="P90" s="332"/>
      <c r="T90" s="332"/>
    </row>
    <row r="91" spans="14:20" s="4" customFormat="1" ht="12.75" customHeight="1">
      <c r="N91" s="332"/>
      <c r="O91" s="332"/>
      <c r="P91" s="332"/>
      <c r="T91" s="332"/>
    </row>
    <row r="92" spans="14:20" s="4" customFormat="1" ht="12.75" customHeight="1">
      <c r="N92" s="332"/>
      <c r="O92" s="332"/>
      <c r="P92" s="332"/>
      <c r="T92" s="332"/>
    </row>
    <row r="93" spans="14:20" s="4" customFormat="1" ht="12.75" customHeight="1">
      <c r="N93" s="332"/>
      <c r="O93" s="332"/>
      <c r="P93" s="332"/>
      <c r="T93" s="332"/>
    </row>
    <row r="94" spans="14:20" s="4" customFormat="1" ht="12.75" customHeight="1">
      <c r="N94" s="332"/>
      <c r="O94" s="332"/>
      <c r="P94" s="332"/>
      <c r="T94" s="332"/>
    </row>
    <row r="95" spans="14:20" s="4" customFormat="1" ht="12.75" customHeight="1">
      <c r="N95" s="332"/>
      <c r="O95" s="332"/>
      <c r="P95" s="332"/>
      <c r="T95" s="332"/>
    </row>
    <row r="96" spans="14:20" s="4" customFormat="1" ht="12.75" customHeight="1">
      <c r="N96" s="332"/>
      <c r="O96" s="332"/>
      <c r="P96" s="332"/>
      <c r="T96" s="332"/>
    </row>
    <row r="97" spans="14:20" s="4" customFormat="1" ht="12.75" customHeight="1">
      <c r="N97" s="332"/>
      <c r="O97" s="332"/>
      <c r="P97" s="332">
        <f>IF(LEFT(C97,8)=LEFT(F101,8),LEFT(F101,8),"")</f>
      </c>
      <c r="T97" s="332"/>
    </row>
    <row r="98" spans="14:20" s="4" customFormat="1" ht="12.75" customHeight="1">
      <c r="N98" s="332"/>
      <c r="O98" s="332"/>
      <c r="P98" s="332">
        <f>IF(LEFT(C98,8)=LEFT(F102,8),LEFT(F102,8),"")</f>
      </c>
      <c r="T98" s="332"/>
    </row>
    <row r="99" spans="14:20" s="4" customFormat="1" ht="12.75" customHeight="1">
      <c r="N99" s="332"/>
      <c r="O99" s="332"/>
      <c r="P99" s="332">
        <f>IF(LEFT(C99,8)=LEFT(F103,8),LEFT(F103,8),"")</f>
      </c>
      <c r="T99" s="332"/>
    </row>
    <row r="100" spans="14:20" s="4" customFormat="1" ht="12.75" customHeight="1">
      <c r="N100" s="332"/>
      <c r="O100" s="332"/>
      <c r="P100" s="332">
        <f>IF(LEFT(C100,8)=LEFT(F104,8),LEFT(F104,8),"")</f>
      </c>
      <c r="T100" s="332"/>
    </row>
    <row r="101" spans="14:20" s="4" customFormat="1" ht="12.75" customHeight="1">
      <c r="N101" s="332"/>
      <c r="O101" s="332"/>
      <c r="P101" s="332">
        <f>IF(LEFT(C101,8)=LEFT(F105,8),LEFT(F105,8),"")</f>
      </c>
      <c r="T101" s="332"/>
    </row>
    <row r="102" spans="14:20" s="4" customFormat="1" ht="12.75" customHeight="1">
      <c r="N102" s="332"/>
      <c r="O102" s="332"/>
      <c r="P102" s="332"/>
      <c r="T102" s="332"/>
    </row>
    <row r="103" spans="14:20" s="4" customFormat="1" ht="12.75" customHeight="1">
      <c r="N103" s="332"/>
      <c r="O103" s="332"/>
      <c r="P103" s="332"/>
      <c r="T103" s="332"/>
    </row>
    <row r="104" spans="14:20" s="4" customFormat="1" ht="12.75" customHeight="1">
      <c r="N104" s="332"/>
      <c r="O104" s="332"/>
      <c r="P104" s="332"/>
      <c r="T104" s="332"/>
    </row>
    <row r="105" spans="14:20" s="4" customFormat="1" ht="12.75" customHeight="1">
      <c r="N105" s="332"/>
      <c r="O105" s="332"/>
      <c r="P105" s="332"/>
      <c r="T105" s="332"/>
    </row>
    <row r="106" spans="14:20" s="4" customFormat="1" ht="12.75" customHeight="1">
      <c r="N106" s="332"/>
      <c r="O106" s="332"/>
      <c r="P106" s="332"/>
      <c r="T106" s="332"/>
    </row>
    <row r="107" spans="14:20" s="4" customFormat="1" ht="12.75" customHeight="1">
      <c r="N107" s="332"/>
      <c r="O107" s="332"/>
      <c r="P107" s="332"/>
      <c r="T107" s="332"/>
    </row>
    <row r="108" spans="14:20" s="4" customFormat="1" ht="12.75" customHeight="1">
      <c r="N108" s="332"/>
      <c r="O108" s="332"/>
      <c r="P108" s="332"/>
      <c r="T108" s="332"/>
    </row>
    <row r="109" spans="14:20" s="4" customFormat="1" ht="12.75" customHeight="1">
      <c r="N109" s="332"/>
      <c r="O109" s="332"/>
      <c r="P109" s="332"/>
      <c r="T109" s="332"/>
    </row>
    <row r="110" spans="14:20" s="4" customFormat="1" ht="12.75" customHeight="1">
      <c r="N110" s="332"/>
      <c r="O110" s="332"/>
      <c r="P110" s="332"/>
      <c r="T110" s="332"/>
    </row>
    <row r="111" spans="14:20" s="4" customFormat="1" ht="12.75" customHeight="1">
      <c r="N111" s="332"/>
      <c r="O111" s="332"/>
      <c r="P111" s="332"/>
      <c r="T111" s="332"/>
    </row>
    <row r="112" spans="14:20" s="4" customFormat="1" ht="12.75" customHeight="1">
      <c r="N112" s="332"/>
      <c r="O112" s="332"/>
      <c r="P112" s="332"/>
      <c r="T112" s="332"/>
    </row>
    <row r="113" spans="14:20" s="4" customFormat="1" ht="12.75" customHeight="1">
      <c r="N113" s="332"/>
      <c r="O113" s="332"/>
      <c r="P113" s="332"/>
      <c r="T113" s="332"/>
    </row>
    <row r="114" spans="14:20" s="4" customFormat="1" ht="12.75" customHeight="1">
      <c r="N114" s="332"/>
      <c r="O114" s="332"/>
      <c r="P114" s="332"/>
      <c r="T114" s="332"/>
    </row>
    <row r="115" spans="14:20" s="4" customFormat="1" ht="12.75" customHeight="1">
      <c r="N115" s="332"/>
      <c r="O115" s="332"/>
      <c r="P115" s="332"/>
      <c r="T115" s="332"/>
    </row>
    <row r="116" spans="14:20" s="4" customFormat="1" ht="12.75" customHeight="1">
      <c r="N116" s="332"/>
      <c r="O116" s="332"/>
      <c r="P116" s="332"/>
      <c r="T116" s="332"/>
    </row>
    <row r="117" spans="14:20" s="4" customFormat="1" ht="12.75" customHeight="1">
      <c r="N117" s="332"/>
      <c r="O117" s="332"/>
      <c r="P117" s="332"/>
      <c r="T117" s="332"/>
    </row>
    <row r="118" spans="14:20" s="4" customFormat="1" ht="12.75" customHeight="1">
      <c r="N118" s="332"/>
      <c r="O118" s="332"/>
      <c r="P118" s="332"/>
      <c r="T118" s="332"/>
    </row>
    <row r="119" spans="14:20" s="4" customFormat="1" ht="12.75" customHeight="1">
      <c r="N119" s="332"/>
      <c r="O119" s="332"/>
      <c r="P119" s="332"/>
      <c r="T119" s="332"/>
    </row>
    <row r="120" spans="14:20" s="4" customFormat="1" ht="12.75" customHeight="1">
      <c r="N120" s="332"/>
      <c r="O120" s="332"/>
      <c r="P120" s="332"/>
      <c r="T120" s="332"/>
    </row>
    <row r="121" spans="14:20" s="4" customFormat="1" ht="12.75" customHeight="1">
      <c r="N121" s="332"/>
      <c r="O121" s="332"/>
      <c r="P121" s="332"/>
      <c r="T121" s="332"/>
    </row>
    <row r="122" spans="14:20" s="4" customFormat="1" ht="12.75" customHeight="1">
      <c r="N122" s="332"/>
      <c r="O122" s="332"/>
      <c r="P122" s="332"/>
      <c r="T122" s="332"/>
    </row>
    <row r="123" spans="14:20" s="4" customFormat="1" ht="12.75" customHeight="1">
      <c r="N123" s="332"/>
      <c r="O123" s="332"/>
      <c r="P123" s="332"/>
      <c r="T123" s="332"/>
    </row>
    <row r="124" spans="14:20" s="4" customFormat="1" ht="12.75" customHeight="1">
      <c r="N124" s="332"/>
      <c r="O124" s="332"/>
      <c r="P124" s="332"/>
      <c r="T124" s="332"/>
    </row>
    <row r="125" spans="14:20" s="4" customFormat="1" ht="12.75" customHeight="1">
      <c r="N125" s="332"/>
      <c r="O125" s="332"/>
      <c r="P125" s="332"/>
      <c r="T125" s="332"/>
    </row>
    <row r="126" spans="14:20" s="4" customFormat="1" ht="12.75" customHeight="1">
      <c r="N126" s="332"/>
      <c r="O126" s="332"/>
      <c r="P126" s="332"/>
      <c r="T126" s="332"/>
    </row>
    <row r="127" spans="14:20" s="4" customFormat="1" ht="12.75" customHeight="1">
      <c r="N127" s="332"/>
      <c r="O127" s="332"/>
      <c r="P127" s="332"/>
      <c r="T127" s="332"/>
    </row>
    <row r="128" spans="14:20" s="4" customFormat="1" ht="12.75" customHeight="1">
      <c r="N128" s="332"/>
      <c r="O128" s="332"/>
      <c r="P128" s="332"/>
      <c r="T128" s="332"/>
    </row>
    <row r="129" spans="14:20" s="4" customFormat="1" ht="12.75" customHeight="1">
      <c r="N129" s="332"/>
      <c r="O129" s="332"/>
      <c r="P129" s="332"/>
      <c r="T129" s="332"/>
    </row>
    <row r="130" spans="14:20" s="4" customFormat="1" ht="12.75" customHeight="1">
      <c r="N130" s="332"/>
      <c r="O130" s="332"/>
      <c r="P130" s="332"/>
      <c r="T130" s="332"/>
    </row>
    <row r="131" spans="14:20" s="4" customFormat="1" ht="12.75" customHeight="1">
      <c r="N131" s="332"/>
      <c r="O131" s="332"/>
      <c r="P131" s="332"/>
      <c r="T131" s="332"/>
    </row>
    <row r="132" spans="14:20" s="4" customFormat="1" ht="12.75" customHeight="1">
      <c r="N132" s="332"/>
      <c r="O132" s="332"/>
      <c r="P132" s="332"/>
      <c r="T132" s="332"/>
    </row>
    <row r="133" spans="9:20" s="4" customFormat="1" ht="12.75" customHeight="1">
      <c r="I133" s="332"/>
      <c r="N133" s="332"/>
      <c r="O133" s="332"/>
      <c r="P133" s="332"/>
      <c r="T133" s="332"/>
    </row>
    <row r="134" spans="9:20" s="4" customFormat="1" ht="12.75" customHeight="1">
      <c r="I134" s="332"/>
      <c r="N134" s="332"/>
      <c r="O134" s="332"/>
      <c r="P134" s="332"/>
      <c r="T134" s="332"/>
    </row>
    <row r="135" spans="9:20" s="4" customFormat="1" ht="12.75" customHeight="1">
      <c r="I135" s="332"/>
      <c r="N135" s="332"/>
      <c r="O135" s="332"/>
      <c r="P135" s="332"/>
      <c r="T135" s="332"/>
    </row>
    <row r="136" spans="9:20" s="4" customFormat="1" ht="12.75" customHeight="1">
      <c r="I136" s="332"/>
      <c r="N136" s="332"/>
      <c r="O136" s="332"/>
      <c r="P136" s="332"/>
      <c r="T136" s="332"/>
    </row>
    <row r="137" spans="9:20" s="4" customFormat="1" ht="12.75" customHeight="1">
      <c r="I137" s="332"/>
      <c r="N137" s="332"/>
      <c r="O137" s="332"/>
      <c r="P137" s="332"/>
      <c r="T137" s="332"/>
    </row>
    <row r="138" spans="9:20" s="4" customFormat="1" ht="12.75" customHeight="1">
      <c r="I138" s="332"/>
      <c r="N138" s="332"/>
      <c r="O138" s="332"/>
      <c r="P138" s="332"/>
      <c r="T138" s="332"/>
    </row>
    <row r="139" spans="9:20" s="4" customFormat="1" ht="12.75" customHeight="1">
      <c r="I139" s="332"/>
      <c r="N139" s="332"/>
      <c r="O139" s="332"/>
      <c r="P139" s="332"/>
      <c r="T139" s="332"/>
    </row>
    <row r="140" spans="9:20" s="4" customFormat="1" ht="12.75" customHeight="1">
      <c r="I140" s="332"/>
      <c r="N140" s="332"/>
      <c r="O140" s="332"/>
      <c r="P140" s="332"/>
      <c r="T140" s="332"/>
    </row>
    <row r="141" spans="9:20" s="4" customFormat="1" ht="12.75" customHeight="1">
      <c r="I141" s="332"/>
      <c r="N141" s="332"/>
      <c r="O141" s="332"/>
      <c r="P141" s="332"/>
      <c r="T141" s="332"/>
    </row>
    <row r="142" spans="9:20" s="4" customFormat="1" ht="12.75" customHeight="1">
      <c r="I142" s="332"/>
      <c r="N142" s="332"/>
      <c r="O142" s="332"/>
      <c r="P142" s="332"/>
      <c r="T142" s="332"/>
    </row>
    <row r="143" spans="9:20" s="4" customFormat="1" ht="12.75" customHeight="1">
      <c r="I143" s="332"/>
      <c r="N143" s="332"/>
      <c r="O143" s="332"/>
      <c r="P143" s="332"/>
      <c r="T143" s="332"/>
    </row>
    <row r="144" spans="9:20" s="4" customFormat="1" ht="12.75" customHeight="1">
      <c r="I144" s="332"/>
      <c r="N144" s="332"/>
      <c r="O144" s="332"/>
      <c r="P144" s="332"/>
      <c r="T144" s="332"/>
    </row>
    <row r="145" spans="9:20" s="4" customFormat="1" ht="12.75" customHeight="1">
      <c r="I145" s="332"/>
      <c r="N145" s="332"/>
      <c r="O145" s="332"/>
      <c r="P145" s="332"/>
      <c r="T145" s="332"/>
    </row>
    <row r="146" spans="9:20" s="4" customFormat="1" ht="12.75" customHeight="1">
      <c r="I146" s="332"/>
      <c r="N146" s="332"/>
      <c r="O146" s="332"/>
      <c r="P146" s="332"/>
      <c r="T146" s="332"/>
    </row>
    <row r="147" spans="9:20" s="4" customFormat="1" ht="12.75" customHeight="1">
      <c r="I147" s="332"/>
      <c r="N147" s="332"/>
      <c r="O147" s="332"/>
      <c r="P147" s="332"/>
      <c r="T147" s="332"/>
    </row>
    <row r="148" spans="9:20" s="4" customFormat="1" ht="12.75" customHeight="1">
      <c r="I148" s="332"/>
      <c r="N148" s="332"/>
      <c r="O148" s="332"/>
      <c r="P148" s="332"/>
      <c r="T148" s="332"/>
    </row>
    <row r="149" spans="9:20" s="4" customFormat="1" ht="12.75" customHeight="1">
      <c r="I149" s="332"/>
      <c r="N149" s="332"/>
      <c r="O149" s="332"/>
      <c r="P149" s="332"/>
      <c r="T149" s="332"/>
    </row>
    <row r="150" spans="9:20" s="4" customFormat="1" ht="12.75" customHeight="1">
      <c r="I150" s="332"/>
      <c r="N150" s="332"/>
      <c r="O150" s="332"/>
      <c r="P150" s="332"/>
      <c r="T150" s="332"/>
    </row>
    <row r="151" spans="9:20" s="4" customFormat="1" ht="12.75" customHeight="1">
      <c r="I151" s="332"/>
      <c r="N151" s="332"/>
      <c r="O151" s="332"/>
      <c r="P151" s="332"/>
      <c r="T151" s="332"/>
    </row>
    <row r="152" spans="9:20" s="4" customFormat="1" ht="12.75" customHeight="1">
      <c r="I152" s="332"/>
      <c r="N152" s="332"/>
      <c r="O152" s="332"/>
      <c r="P152" s="332"/>
      <c r="T152" s="332"/>
    </row>
    <row r="153" spans="9:20" s="4" customFormat="1" ht="12.75" customHeight="1">
      <c r="I153" s="332"/>
      <c r="N153" s="332"/>
      <c r="O153" s="332"/>
      <c r="P153" s="332"/>
      <c r="T153" s="332"/>
    </row>
    <row r="154" spans="9:20" s="4" customFormat="1" ht="12.75" customHeight="1">
      <c r="I154" s="332"/>
      <c r="N154" s="332"/>
      <c r="O154" s="332"/>
      <c r="P154" s="332"/>
      <c r="T154" s="332"/>
    </row>
    <row r="155" spans="9:20" s="4" customFormat="1" ht="12.75" customHeight="1">
      <c r="I155" s="332"/>
      <c r="N155" s="332"/>
      <c r="O155" s="332"/>
      <c r="P155" s="332"/>
      <c r="T155" s="332"/>
    </row>
    <row r="156" spans="9:20" s="4" customFormat="1" ht="12.75" customHeight="1">
      <c r="I156" s="332"/>
      <c r="N156" s="332"/>
      <c r="O156" s="332"/>
      <c r="P156" s="332"/>
      <c r="T156" s="332"/>
    </row>
    <row r="157" spans="9:20" s="4" customFormat="1" ht="12.75" customHeight="1">
      <c r="I157" s="332"/>
      <c r="N157" s="332"/>
      <c r="O157" s="332"/>
      <c r="P157" s="332"/>
      <c r="T157" s="332"/>
    </row>
    <row r="158" spans="9:20" s="4" customFormat="1" ht="12.75" customHeight="1">
      <c r="I158" s="332"/>
      <c r="N158" s="332"/>
      <c r="O158" s="332"/>
      <c r="P158" s="332"/>
      <c r="T158" s="332"/>
    </row>
    <row r="159" spans="9:20" s="4" customFormat="1" ht="12.75" customHeight="1">
      <c r="I159" s="332"/>
      <c r="N159" s="332"/>
      <c r="O159" s="332"/>
      <c r="P159" s="332"/>
      <c r="T159" s="332"/>
    </row>
    <row r="160" spans="9:20" s="4" customFormat="1" ht="12.75" customHeight="1">
      <c r="I160" s="332"/>
      <c r="N160" s="332"/>
      <c r="O160" s="332"/>
      <c r="P160" s="332"/>
      <c r="T160" s="332"/>
    </row>
    <row r="161" spans="9:20" s="4" customFormat="1" ht="12.75" customHeight="1">
      <c r="I161" s="332"/>
      <c r="N161" s="332"/>
      <c r="O161" s="332"/>
      <c r="P161" s="332"/>
      <c r="T161" s="332"/>
    </row>
    <row r="162" spans="9:20" s="4" customFormat="1" ht="12.75" customHeight="1">
      <c r="I162" s="332"/>
      <c r="N162" s="332"/>
      <c r="O162" s="332"/>
      <c r="P162" s="332"/>
      <c r="T162" s="332"/>
    </row>
    <row r="163" spans="9:20" s="4" customFormat="1" ht="12.75" customHeight="1">
      <c r="I163" s="332"/>
      <c r="N163" s="332"/>
      <c r="O163" s="332"/>
      <c r="P163" s="332"/>
      <c r="T163" s="332"/>
    </row>
    <row r="164" spans="9:20" s="4" customFormat="1" ht="12.75" customHeight="1">
      <c r="I164" s="332"/>
      <c r="N164" s="332"/>
      <c r="O164" s="332"/>
      <c r="P164" s="332"/>
      <c r="T164" s="332"/>
    </row>
    <row r="165" spans="9:20" s="4" customFormat="1" ht="12.75" customHeight="1">
      <c r="I165" s="332"/>
      <c r="N165" s="332"/>
      <c r="O165" s="332"/>
      <c r="P165" s="332"/>
      <c r="T165" s="332"/>
    </row>
    <row r="166" spans="9:20" s="4" customFormat="1" ht="12.75" customHeight="1">
      <c r="I166" s="332"/>
      <c r="N166" s="332"/>
      <c r="O166" s="332"/>
      <c r="P166" s="332"/>
      <c r="T166" s="332"/>
    </row>
    <row r="167" spans="9:20" s="4" customFormat="1" ht="12.75" customHeight="1">
      <c r="I167" s="332"/>
      <c r="N167" s="332"/>
      <c r="O167" s="332"/>
      <c r="P167" s="332"/>
      <c r="T167" s="332"/>
    </row>
    <row r="168" spans="9:20" s="4" customFormat="1" ht="12.75" customHeight="1">
      <c r="I168" s="332"/>
      <c r="N168" s="332"/>
      <c r="O168" s="332"/>
      <c r="P168" s="332"/>
      <c r="T168" s="332"/>
    </row>
    <row r="169" spans="9:20" s="4" customFormat="1" ht="12.75" customHeight="1">
      <c r="I169" s="332"/>
      <c r="N169" s="332"/>
      <c r="O169" s="332"/>
      <c r="P169" s="332"/>
      <c r="T169" s="332"/>
    </row>
    <row r="170" spans="9:20" s="4" customFormat="1" ht="12.75" customHeight="1">
      <c r="I170" s="332"/>
      <c r="N170" s="332"/>
      <c r="O170" s="332"/>
      <c r="P170" s="332"/>
      <c r="T170" s="332"/>
    </row>
    <row r="171" spans="9:20" s="4" customFormat="1" ht="12.75" customHeight="1">
      <c r="I171" s="332"/>
      <c r="N171" s="332"/>
      <c r="O171" s="332"/>
      <c r="P171" s="332"/>
      <c r="T171" s="332"/>
    </row>
    <row r="172" spans="14:20" s="4" customFormat="1" ht="12.75" customHeight="1">
      <c r="N172" s="332"/>
      <c r="O172" s="332"/>
      <c r="P172" s="332"/>
      <c r="T172" s="332"/>
    </row>
    <row r="173" spans="14:20" s="4" customFormat="1" ht="12.75" customHeight="1">
      <c r="N173" s="332"/>
      <c r="O173" s="332"/>
      <c r="P173" s="332"/>
      <c r="T173" s="332"/>
    </row>
    <row r="174" spans="14:20" s="4" customFormat="1" ht="12.75" customHeight="1">
      <c r="N174" s="332"/>
      <c r="O174" s="332"/>
      <c r="P174" s="332"/>
      <c r="T174" s="332"/>
    </row>
    <row r="175" spans="14:20" s="4" customFormat="1" ht="12.75" customHeight="1">
      <c r="N175" s="332"/>
      <c r="O175" s="332"/>
      <c r="P175" s="332"/>
      <c r="T175" s="332"/>
    </row>
    <row r="176" spans="14:20" s="4" customFormat="1" ht="12.75" customHeight="1">
      <c r="N176" s="332"/>
      <c r="O176" s="332"/>
      <c r="P176" s="332"/>
      <c r="T176" s="332"/>
    </row>
    <row r="177" spans="14:20" s="4" customFormat="1" ht="12.75" customHeight="1">
      <c r="N177" s="332"/>
      <c r="O177" s="332"/>
      <c r="P177" s="332"/>
      <c r="T177" s="332"/>
    </row>
    <row r="178" spans="14:20" s="4" customFormat="1" ht="12.75" customHeight="1">
      <c r="N178" s="332"/>
      <c r="O178" s="332"/>
      <c r="P178" s="332"/>
      <c r="T178" s="332"/>
    </row>
    <row r="179" spans="14:20" s="4" customFormat="1" ht="12.75" customHeight="1">
      <c r="N179" s="332"/>
      <c r="O179" s="332"/>
      <c r="P179" s="332"/>
      <c r="T179" s="332"/>
    </row>
    <row r="180" spans="14:20" s="4" customFormat="1" ht="12.75" customHeight="1">
      <c r="N180" s="332"/>
      <c r="O180" s="332"/>
      <c r="P180" s="332"/>
      <c r="T180" s="332"/>
    </row>
    <row r="181" spans="14:20" s="4" customFormat="1" ht="12.75" customHeight="1">
      <c r="N181" s="332"/>
      <c r="O181" s="332"/>
      <c r="P181" s="332"/>
      <c r="T181" s="332"/>
    </row>
    <row r="182" spans="14:20" s="4" customFormat="1" ht="12.75" customHeight="1">
      <c r="N182" s="332"/>
      <c r="O182" s="332"/>
      <c r="P182" s="332"/>
      <c r="T182" s="332"/>
    </row>
    <row r="183" spans="14:20" s="4" customFormat="1" ht="12.75" customHeight="1">
      <c r="N183" s="332"/>
      <c r="O183" s="332"/>
      <c r="P183" s="332"/>
      <c r="T183" s="332"/>
    </row>
    <row r="184" spans="14:20" s="4" customFormat="1" ht="12.75" customHeight="1">
      <c r="N184" s="332"/>
      <c r="O184" s="332"/>
      <c r="P184" s="332"/>
      <c r="T184" s="332"/>
    </row>
    <row r="185" spans="14:20" s="4" customFormat="1" ht="12.75" customHeight="1">
      <c r="N185" s="332"/>
      <c r="O185" s="332"/>
      <c r="P185" s="332"/>
      <c r="T185" s="332"/>
    </row>
    <row r="186" spans="14:20" s="4" customFormat="1" ht="12.75" customHeight="1">
      <c r="N186" s="332"/>
      <c r="O186" s="332"/>
      <c r="P186" s="332"/>
      <c r="T186" s="332"/>
    </row>
    <row r="187" spans="14:20" s="4" customFormat="1" ht="12.75" customHeight="1">
      <c r="N187" s="332"/>
      <c r="O187" s="332"/>
      <c r="P187" s="332"/>
      <c r="T187" s="332"/>
    </row>
    <row r="188" spans="14:20" s="4" customFormat="1" ht="12.75" customHeight="1">
      <c r="N188" s="332"/>
      <c r="O188" s="332"/>
      <c r="P188" s="332"/>
      <c r="T188" s="332"/>
    </row>
    <row r="189" spans="14:20" s="4" customFormat="1" ht="12.75" customHeight="1">
      <c r="N189" s="332"/>
      <c r="O189" s="332"/>
      <c r="P189" s="332"/>
      <c r="T189" s="332"/>
    </row>
    <row r="190" spans="14:20" s="4" customFormat="1" ht="12.75" customHeight="1">
      <c r="N190" s="332"/>
      <c r="O190" s="332"/>
      <c r="P190" s="332"/>
      <c r="T190" s="332"/>
    </row>
    <row r="191" spans="14:20" s="4" customFormat="1" ht="12.75" customHeight="1">
      <c r="N191" s="332"/>
      <c r="O191" s="332"/>
      <c r="P191" s="332"/>
      <c r="T191" s="332"/>
    </row>
    <row r="192" spans="14:20" s="4" customFormat="1" ht="12.75" customHeight="1">
      <c r="N192" s="332"/>
      <c r="O192" s="332"/>
      <c r="P192" s="332"/>
      <c r="T192" s="332"/>
    </row>
    <row r="193" spans="14:20" s="4" customFormat="1" ht="12.75" customHeight="1">
      <c r="N193" s="332"/>
      <c r="O193" s="332"/>
      <c r="P193" s="332"/>
      <c r="T193" s="332"/>
    </row>
    <row r="194" spans="14:20" s="4" customFormat="1" ht="12.75" customHeight="1">
      <c r="N194" s="332"/>
      <c r="O194" s="332"/>
      <c r="P194" s="332"/>
      <c r="T194" s="332"/>
    </row>
    <row r="195" spans="14:20" s="4" customFormat="1" ht="12.75" customHeight="1">
      <c r="N195" s="332"/>
      <c r="O195" s="332"/>
      <c r="P195" s="332"/>
      <c r="T195" s="332"/>
    </row>
    <row r="196" spans="14:20" s="4" customFormat="1" ht="12.75" customHeight="1">
      <c r="N196" s="332"/>
      <c r="O196" s="332"/>
      <c r="P196" s="332"/>
      <c r="T196" s="332"/>
    </row>
    <row r="197" spans="14:20" s="4" customFormat="1" ht="12.75" customHeight="1">
      <c r="N197" s="332"/>
      <c r="O197" s="332"/>
      <c r="P197" s="332"/>
      <c r="T197" s="332"/>
    </row>
    <row r="198" spans="14:20" s="4" customFormat="1" ht="12.75" customHeight="1">
      <c r="N198" s="332"/>
      <c r="O198" s="332"/>
      <c r="P198" s="332"/>
      <c r="T198" s="332"/>
    </row>
    <row r="199" spans="14:20" s="4" customFormat="1" ht="12.75" customHeight="1">
      <c r="N199" s="332"/>
      <c r="O199" s="332"/>
      <c r="P199" s="332"/>
      <c r="T199" s="332"/>
    </row>
    <row r="200" spans="14:20" s="4" customFormat="1" ht="12.75" customHeight="1">
      <c r="N200" s="332"/>
      <c r="O200" s="332"/>
      <c r="P200" s="332"/>
      <c r="T200" s="332"/>
    </row>
    <row r="201" spans="3:20" s="4" customFormat="1" ht="12.75" customHeight="1">
      <c r="C201" s="328"/>
      <c r="D201" s="328"/>
      <c r="E201" s="328"/>
      <c r="F201" s="328"/>
      <c r="L201" s="330"/>
      <c r="M201" s="350"/>
      <c r="N201" s="332"/>
      <c r="O201" s="332"/>
      <c r="P201" s="332"/>
      <c r="T201" s="332"/>
    </row>
    <row r="202" spans="1:20" s="4" customFormat="1" ht="12.75" customHeight="1">
      <c r="A202" s="329"/>
      <c r="B202" s="330"/>
      <c r="C202" s="331"/>
      <c r="D202" s="330"/>
      <c r="E202" s="330"/>
      <c r="F202" s="331"/>
      <c r="G202" s="351"/>
      <c r="H202" s="351"/>
      <c r="I202" s="351"/>
      <c r="J202" s="330"/>
      <c r="N202" s="332"/>
      <c r="O202" s="332"/>
      <c r="P202" s="332"/>
      <c r="T202" s="332"/>
    </row>
    <row r="203" spans="3:20" s="4" customFormat="1" ht="12.75" customHeight="1">
      <c r="C203" s="328"/>
      <c r="D203" s="328"/>
      <c r="E203" s="328"/>
      <c r="F203" s="328"/>
      <c r="L203" s="330"/>
      <c r="M203" s="350"/>
      <c r="N203" s="332"/>
      <c r="O203" s="332"/>
      <c r="P203" s="332"/>
      <c r="T203" s="332"/>
    </row>
    <row r="204" spans="1:20" s="4" customFormat="1" ht="12.75" customHeight="1">
      <c r="A204" s="329"/>
      <c r="B204" s="330"/>
      <c r="C204" s="331"/>
      <c r="D204" s="330"/>
      <c r="E204" s="330"/>
      <c r="F204" s="331"/>
      <c r="G204" s="351"/>
      <c r="H204" s="351"/>
      <c r="I204" s="351"/>
      <c r="J204" s="330"/>
      <c r="N204" s="332"/>
      <c r="O204" s="332"/>
      <c r="P204" s="332"/>
      <c r="T204" s="332"/>
    </row>
    <row r="205" spans="5:20" s="4" customFormat="1" ht="12.75" customHeight="1">
      <c r="E205" s="332"/>
      <c r="F205" s="332"/>
      <c r="G205" s="332"/>
      <c r="H205" s="332"/>
      <c r="I205" s="349"/>
      <c r="J205" s="332"/>
      <c r="K205" s="332"/>
      <c r="L205" s="332"/>
      <c r="M205" s="332"/>
      <c r="N205" s="332"/>
      <c r="O205" s="332"/>
      <c r="P205" s="332"/>
      <c r="T205" s="332"/>
    </row>
    <row r="206" spans="5:20" s="4" customFormat="1" ht="12.75" customHeight="1">
      <c r="E206" s="332"/>
      <c r="F206" s="332"/>
      <c r="G206" s="332"/>
      <c r="H206" s="332"/>
      <c r="I206" s="349"/>
      <c r="J206" s="332"/>
      <c r="K206" s="332"/>
      <c r="L206" s="332"/>
      <c r="M206" s="332"/>
      <c r="N206" s="332"/>
      <c r="O206" s="332"/>
      <c r="P206" s="332"/>
      <c r="T206" s="332"/>
    </row>
    <row r="207" spans="5:20" s="4" customFormat="1" ht="12.75" customHeight="1">
      <c r="E207" s="332"/>
      <c r="F207" s="332"/>
      <c r="G207" s="332"/>
      <c r="H207" s="332"/>
      <c r="I207" s="349"/>
      <c r="J207" s="332"/>
      <c r="K207" s="332"/>
      <c r="L207" s="332"/>
      <c r="M207" s="332"/>
      <c r="N207" s="332"/>
      <c r="O207" s="332"/>
      <c r="P207" s="332"/>
      <c r="T207" s="332"/>
    </row>
    <row r="208" spans="5:20" s="4" customFormat="1" ht="12.75" customHeight="1">
      <c r="E208" s="332"/>
      <c r="F208" s="332"/>
      <c r="G208" s="332"/>
      <c r="H208" s="332"/>
      <c r="I208" s="349"/>
      <c r="J208" s="332"/>
      <c r="K208" s="332"/>
      <c r="L208" s="332"/>
      <c r="M208" s="332"/>
      <c r="N208" s="332"/>
      <c r="O208" s="332"/>
      <c r="P208" s="332"/>
      <c r="T208" s="332"/>
    </row>
    <row r="209" spans="5:20" s="4" customFormat="1" ht="12.75" customHeight="1">
      <c r="E209" s="332"/>
      <c r="F209" s="332"/>
      <c r="G209" s="332"/>
      <c r="H209" s="332"/>
      <c r="I209" s="349"/>
      <c r="J209" s="332"/>
      <c r="K209" s="332"/>
      <c r="L209" s="332"/>
      <c r="M209" s="332"/>
      <c r="N209" s="332"/>
      <c r="O209" s="332"/>
      <c r="P209" s="332"/>
      <c r="T209" s="332"/>
    </row>
    <row r="210" spans="5:20" s="4" customFormat="1" ht="12.75" customHeight="1">
      <c r="E210" s="332"/>
      <c r="F210" s="332"/>
      <c r="G210" s="332"/>
      <c r="H210" s="332"/>
      <c r="I210" s="349"/>
      <c r="J210" s="332"/>
      <c r="K210" s="332"/>
      <c r="L210" s="332"/>
      <c r="M210" s="332"/>
      <c r="N210" s="332"/>
      <c r="O210" s="332"/>
      <c r="P210" s="332"/>
      <c r="T210" s="332"/>
    </row>
    <row r="211" spans="5:20" s="4" customFormat="1" ht="12.75">
      <c r="E211" s="332"/>
      <c r="F211" s="332"/>
      <c r="G211" s="332"/>
      <c r="H211" s="332"/>
      <c r="I211" s="349"/>
      <c r="J211" s="332"/>
      <c r="K211" s="332"/>
      <c r="L211" s="332"/>
      <c r="M211" s="332"/>
      <c r="N211" s="332"/>
      <c r="O211" s="332"/>
      <c r="P211" s="332"/>
      <c r="T211" s="332"/>
    </row>
    <row r="212" spans="5:20" s="4" customFormat="1" ht="12.75">
      <c r="E212" s="332"/>
      <c r="F212" s="332"/>
      <c r="G212" s="332"/>
      <c r="H212" s="332"/>
      <c r="I212" s="349"/>
      <c r="J212" s="332"/>
      <c r="K212" s="332"/>
      <c r="L212" s="332"/>
      <c r="M212" s="332"/>
      <c r="N212" s="332"/>
      <c r="O212" s="332"/>
      <c r="P212" s="332"/>
      <c r="T212" s="332"/>
    </row>
    <row r="213" spans="5:20" s="4" customFormat="1" ht="12.75">
      <c r="E213" s="332"/>
      <c r="F213" s="332"/>
      <c r="G213" s="332"/>
      <c r="H213" s="332"/>
      <c r="I213" s="349"/>
      <c r="J213" s="332"/>
      <c r="K213" s="332"/>
      <c r="L213" s="332"/>
      <c r="M213" s="332"/>
      <c r="N213" s="332"/>
      <c r="O213" s="332"/>
      <c r="P213" s="332"/>
      <c r="T213" s="332"/>
    </row>
    <row r="214" spans="5:20" s="4" customFormat="1" ht="12.75">
      <c r="E214" s="332"/>
      <c r="F214" s="332"/>
      <c r="G214" s="332"/>
      <c r="H214" s="332"/>
      <c r="I214" s="349"/>
      <c r="J214" s="332"/>
      <c r="K214" s="332"/>
      <c r="L214" s="332"/>
      <c r="M214" s="332"/>
      <c r="N214" s="332"/>
      <c r="O214" s="332"/>
      <c r="P214" s="332"/>
      <c r="T214" s="332"/>
    </row>
    <row r="215" spans="5:20" s="4" customFormat="1" ht="12.75">
      <c r="E215" s="332"/>
      <c r="F215" s="332"/>
      <c r="G215" s="332"/>
      <c r="H215" s="332"/>
      <c r="I215" s="349"/>
      <c r="J215" s="332"/>
      <c r="K215" s="332"/>
      <c r="L215" s="332"/>
      <c r="M215" s="332"/>
      <c r="N215" s="332"/>
      <c r="O215" s="332"/>
      <c r="P215" s="332"/>
      <c r="T215" s="332"/>
    </row>
    <row r="216" spans="5:20" s="4" customFormat="1" ht="12.75">
      <c r="E216" s="332"/>
      <c r="F216" s="332"/>
      <c r="G216" s="332"/>
      <c r="H216" s="332"/>
      <c r="I216" s="349"/>
      <c r="J216" s="332"/>
      <c r="K216" s="332"/>
      <c r="L216" s="332"/>
      <c r="M216" s="332"/>
      <c r="N216" s="332"/>
      <c r="O216" s="332"/>
      <c r="P216" s="332"/>
      <c r="T216" s="332"/>
    </row>
    <row r="217" spans="5:20" s="4" customFormat="1" ht="12.75">
      <c r="E217" s="332"/>
      <c r="F217" s="332"/>
      <c r="G217" s="332"/>
      <c r="H217" s="332"/>
      <c r="I217" s="349"/>
      <c r="J217" s="332"/>
      <c r="K217" s="332"/>
      <c r="L217" s="332"/>
      <c r="M217" s="332"/>
      <c r="N217" s="332"/>
      <c r="O217" s="332"/>
      <c r="P217" s="332"/>
      <c r="T217" s="332"/>
    </row>
    <row r="218" spans="5:20" s="4" customFormat="1" ht="12.75">
      <c r="E218" s="332"/>
      <c r="F218" s="332"/>
      <c r="G218" s="332"/>
      <c r="H218" s="332"/>
      <c r="I218" s="349"/>
      <c r="J218" s="332"/>
      <c r="K218" s="332"/>
      <c r="L218" s="332"/>
      <c r="M218" s="332"/>
      <c r="N218" s="332"/>
      <c r="O218" s="332"/>
      <c r="P218" s="332"/>
      <c r="T218" s="332"/>
    </row>
    <row r="219" spans="5:20" s="4" customFormat="1" ht="12.75">
      <c r="E219" s="332"/>
      <c r="F219" s="332"/>
      <c r="G219" s="332"/>
      <c r="H219" s="332"/>
      <c r="I219" s="349"/>
      <c r="J219" s="332"/>
      <c r="K219" s="332"/>
      <c r="L219" s="332"/>
      <c r="M219" s="332"/>
      <c r="N219" s="332"/>
      <c r="O219" s="332"/>
      <c r="P219" s="332"/>
      <c r="T219" s="332"/>
    </row>
    <row r="220" spans="5:20" s="4" customFormat="1" ht="12.75">
      <c r="E220" s="332"/>
      <c r="F220" s="332"/>
      <c r="G220" s="332"/>
      <c r="H220" s="332"/>
      <c r="I220" s="349"/>
      <c r="J220" s="332"/>
      <c r="K220" s="332"/>
      <c r="L220" s="332"/>
      <c r="M220" s="332"/>
      <c r="N220" s="332"/>
      <c r="O220" s="332"/>
      <c r="P220" s="332"/>
      <c r="T220" s="332"/>
    </row>
    <row r="221" spans="5:20" s="4" customFormat="1" ht="12.75">
      <c r="E221" s="332"/>
      <c r="F221" s="332"/>
      <c r="G221" s="332"/>
      <c r="H221" s="332"/>
      <c r="I221" s="349"/>
      <c r="J221" s="332"/>
      <c r="K221" s="332"/>
      <c r="L221" s="332"/>
      <c r="M221" s="332"/>
      <c r="N221" s="332"/>
      <c r="O221" s="332"/>
      <c r="P221" s="332"/>
      <c r="T221" s="332"/>
    </row>
    <row r="222" spans="5:20" s="4" customFormat="1" ht="12.75">
      <c r="E222" s="332"/>
      <c r="F222" s="332"/>
      <c r="G222" s="332"/>
      <c r="H222" s="332"/>
      <c r="I222" s="349"/>
      <c r="J222" s="332"/>
      <c r="K222" s="332"/>
      <c r="L222" s="332"/>
      <c r="M222" s="332"/>
      <c r="N222" s="332"/>
      <c r="O222" s="332"/>
      <c r="P222" s="332"/>
      <c r="T222" s="332"/>
    </row>
    <row r="223" spans="5:20" s="4" customFormat="1" ht="12.75">
      <c r="E223" s="332"/>
      <c r="F223" s="332"/>
      <c r="G223" s="332"/>
      <c r="H223" s="332"/>
      <c r="I223" s="349"/>
      <c r="J223" s="332"/>
      <c r="K223" s="332"/>
      <c r="L223" s="332"/>
      <c r="M223" s="332"/>
      <c r="N223" s="332"/>
      <c r="O223" s="332"/>
      <c r="P223" s="332"/>
      <c r="T223" s="332"/>
    </row>
    <row r="224" spans="5:20" s="4" customFormat="1" ht="12.75">
      <c r="E224" s="332"/>
      <c r="F224" s="332"/>
      <c r="G224" s="332"/>
      <c r="H224" s="332"/>
      <c r="I224" s="349"/>
      <c r="J224" s="332"/>
      <c r="K224" s="332"/>
      <c r="L224" s="332"/>
      <c r="M224" s="332"/>
      <c r="N224" s="332"/>
      <c r="O224" s="332"/>
      <c r="P224" s="332"/>
      <c r="T224" s="332"/>
    </row>
    <row r="225" spans="5:20" s="4" customFormat="1" ht="12.75">
      <c r="E225" s="332"/>
      <c r="F225" s="332"/>
      <c r="G225" s="332"/>
      <c r="H225" s="332"/>
      <c r="I225" s="349"/>
      <c r="J225" s="332"/>
      <c r="K225" s="332"/>
      <c r="L225" s="332"/>
      <c r="M225" s="332"/>
      <c r="N225" s="332"/>
      <c r="O225" s="332"/>
      <c r="P225" s="332"/>
      <c r="T225" s="332"/>
    </row>
    <row r="226" spans="5:20" s="4" customFormat="1" ht="12.75">
      <c r="E226" s="332"/>
      <c r="F226" s="332"/>
      <c r="G226" s="332"/>
      <c r="H226" s="332"/>
      <c r="I226" s="349"/>
      <c r="J226" s="332"/>
      <c r="K226" s="332"/>
      <c r="L226" s="332"/>
      <c r="M226" s="332"/>
      <c r="N226" s="332"/>
      <c r="O226" s="332"/>
      <c r="P226" s="332"/>
      <c r="T226" s="332"/>
    </row>
    <row r="227" spans="5:20" s="4" customFormat="1" ht="12.75">
      <c r="E227" s="332"/>
      <c r="F227" s="332"/>
      <c r="G227" s="332"/>
      <c r="H227" s="332"/>
      <c r="I227" s="349"/>
      <c r="J227" s="332"/>
      <c r="K227" s="332"/>
      <c r="L227" s="332"/>
      <c r="M227" s="332"/>
      <c r="N227" s="332"/>
      <c r="O227" s="332"/>
      <c r="P227" s="332"/>
      <c r="T227" s="332"/>
    </row>
    <row r="228" spans="5:20" s="4" customFormat="1" ht="12.75">
      <c r="E228" s="332"/>
      <c r="F228" s="332"/>
      <c r="G228" s="332"/>
      <c r="H228" s="332"/>
      <c r="I228" s="349"/>
      <c r="J228" s="332"/>
      <c r="K228" s="332"/>
      <c r="L228" s="332"/>
      <c r="M228" s="332"/>
      <c r="N228" s="332"/>
      <c r="O228" s="332"/>
      <c r="P228" s="332"/>
      <c r="T228" s="332"/>
    </row>
    <row r="229" spans="5:20" s="4" customFormat="1" ht="12.75">
      <c r="E229" s="332"/>
      <c r="F229" s="332"/>
      <c r="G229" s="332"/>
      <c r="H229" s="332"/>
      <c r="I229" s="349"/>
      <c r="J229" s="332"/>
      <c r="K229" s="332"/>
      <c r="L229" s="332"/>
      <c r="M229" s="332"/>
      <c r="N229" s="332"/>
      <c r="O229" s="332"/>
      <c r="P229" s="332"/>
      <c r="T229" s="332"/>
    </row>
    <row r="230" spans="5:20" s="4" customFormat="1" ht="12.75">
      <c r="E230" s="332"/>
      <c r="F230" s="332"/>
      <c r="G230" s="332"/>
      <c r="H230" s="332"/>
      <c r="I230" s="349"/>
      <c r="J230" s="332"/>
      <c r="K230" s="332"/>
      <c r="L230" s="332"/>
      <c r="M230" s="332"/>
      <c r="N230" s="332"/>
      <c r="O230" s="332"/>
      <c r="P230" s="332"/>
      <c r="T230" s="332"/>
    </row>
    <row r="231" spans="5:20" s="4" customFormat="1" ht="12.75">
      <c r="E231" s="332"/>
      <c r="F231" s="332"/>
      <c r="G231" s="332"/>
      <c r="H231" s="332"/>
      <c r="I231" s="349"/>
      <c r="J231" s="332"/>
      <c r="K231" s="332"/>
      <c r="L231" s="332"/>
      <c r="M231" s="332"/>
      <c r="N231" s="332"/>
      <c r="O231" s="332"/>
      <c r="P231" s="332"/>
      <c r="T231" s="332"/>
    </row>
    <row r="232" spans="5:20" s="4" customFormat="1" ht="12.75">
      <c r="E232" s="332"/>
      <c r="F232" s="332"/>
      <c r="G232" s="332"/>
      <c r="H232" s="332"/>
      <c r="I232" s="349"/>
      <c r="J232" s="332"/>
      <c r="K232" s="332"/>
      <c r="L232" s="332"/>
      <c r="M232" s="332"/>
      <c r="N232" s="332"/>
      <c r="O232" s="332"/>
      <c r="P232" s="332"/>
      <c r="T232" s="332"/>
    </row>
    <row r="233" spans="5:20" s="4" customFormat="1" ht="12.75">
      <c r="E233" s="332"/>
      <c r="F233" s="332"/>
      <c r="G233" s="332"/>
      <c r="H233" s="332"/>
      <c r="I233" s="349"/>
      <c r="J233" s="332"/>
      <c r="K233" s="332"/>
      <c r="L233" s="332"/>
      <c r="M233" s="332"/>
      <c r="N233" s="332"/>
      <c r="O233" s="332"/>
      <c r="P233" s="332"/>
      <c r="T233" s="332"/>
    </row>
    <row r="234" spans="5:20" s="4" customFormat="1" ht="12.75">
      <c r="E234" s="332"/>
      <c r="F234" s="332"/>
      <c r="G234" s="332"/>
      <c r="H234" s="332"/>
      <c r="I234" s="349"/>
      <c r="J234" s="332"/>
      <c r="K234" s="332"/>
      <c r="L234" s="332"/>
      <c r="M234" s="332"/>
      <c r="N234" s="332"/>
      <c r="O234" s="332"/>
      <c r="P234" s="332"/>
      <c r="T234" s="332"/>
    </row>
    <row r="235" spans="5:20" s="4" customFormat="1" ht="12.75">
      <c r="E235" s="332"/>
      <c r="F235" s="332"/>
      <c r="G235" s="332"/>
      <c r="H235" s="332"/>
      <c r="I235" s="349"/>
      <c r="J235" s="332"/>
      <c r="K235" s="332"/>
      <c r="L235" s="332"/>
      <c r="M235" s="332"/>
      <c r="N235" s="332"/>
      <c r="O235" s="332"/>
      <c r="P235" s="332"/>
      <c r="T235" s="332"/>
    </row>
    <row r="236" spans="5:20" s="4" customFormat="1" ht="12.75">
      <c r="E236" s="332"/>
      <c r="F236" s="332"/>
      <c r="G236" s="332"/>
      <c r="H236" s="332"/>
      <c r="I236" s="349"/>
      <c r="J236" s="332"/>
      <c r="K236" s="332"/>
      <c r="L236" s="332"/>
      <c r="M236" s="332"/>
      <c r="N236" s="332"/>
      <c r="O236" s="332"/>
      <c r="P236" s="332"/>
      <c r="T236" s="332"/>
    </row>
    <row r="237" spans="5:20" s="4" customFormat="1" ht="12.75">
      <c r="E237" s="332"/>
      <c r="F237" s="332"/>
      <c r="G237" s="332"/>
      <c r="H237" s="332"/>
      <c r="I237" s="349"/>
      <c r="J237" s="332"/>
      <c r="K237" s="332"/>
      <c r="L237" s="332"/>
      <c r="M237" s="332"/>
      <c r="N237" s="332"/>
      <c r="O237" s="332"/>
      <c r="P237" s="332"/>
      <c r="T237" s="332"/>
    </row>
    <row r="238" spans="5:20" s="4" customFormat="1" ht="12.75">
      <c r="E238" s="332"/>
      <c r="F238" s="332"/>
      <c r="G238" s="332"/>
      <c r="H238" s="332"/>
      <c r="I238" s="349"/>
      <c r="J238" s="332"/>
      <c r="K238" s="332"/>
      <c r="L238" s="332"/>
      <c r="M238" s="332"/>
      <c r="N238" s="332"/>
      <c r="O238" s="332"/>
      <c r="P238" s="332"/>
      <c r="T238" s="332"/>
    </row>
    <row r="239" spans="5:20" s="4" customFormat="1" ht="12.75">
      <c r="E239" s="332"/>
      <c r="F239" s="332"/>
      <c r="G239" s="332"/>
      <c r="H239" s="332"/>
      <c r="I239" s="349"/>
      <c r="J239" s="332"/>
      <c r="K239" s="332"/>
      <c r="L239" s="332"/>
      <c r="M239" s="332"/>
      <c r="N239" s="332"/>
      <c r="O239" s="332"/>
      <c r="P239" s="332"/>
      <c r="T239" s="332"/>
    </row>
    <row r="240" spans="5:20" s="4" customFormat="1" ht="12.75">
      <c r="E240" s="332"/>
      <c r="F240" s="332"/>
      <c r="G240" s="332"/>
      <c r="H240" s="332"/>
      <c r="I240" s="349"/>
      <c r="J240" s="332"/>
      <c r="K240" s="332"/>
      <c r="L240" s="332"/>
      <c r="M240" s="332"/>
      <c r="N240" s="332"/>
      <c r="O240" s="332"/>
      <c r="P240" s="332"/>
      <c r="T240" s="332"/>
    </row>
    <row r="241" spans="5:20" s="4" customFormat="1" ht="12.75">
      <c r="E241" s="332"/>
      <c r="F241" s="332"/>
      <c r="G241" s="332"/>
      <c r="H241" s="332"/>
      <c r="I241" s="349"/>
      <c r="J241" s="332"/>
      <c r="K241" s="332"/>
      <c r="L241" s="332"/>
      <c r="M241" s="332"/>
      <c r="N241" s="332"/>
      <c r="O241" s="332"/>
      <c r="P241" s="332"/>
      <c r="T241" s="332"/>
    </row>
    <row r="242" spans="5:20" s="4" customFormat="1" ht="12.75">
      <c r="E242" s="332"/>
      <c r="F242" s="332"/>
      <c r="G242" s="332"/>
      <c r="H242" s="332"/>
      <c r="I242" s="349"/>
      <c r="J242" s="332"/>
      <c r="K242" s="332"/>
      <c r="L242" s="332"/>
      <c r="M242" s="332"/>
      <c r="N242" s="332"/>
      <c r="O242" s="332"/>
      <c r="P242" s="332"/>
      <c r="T242" s="332"/>
    </row>
    <row r="243" spans="5:20" s="4" customFormat="1" ht="12.75">
      <c r="E243" s="332"/>
      <c r="F243" s="332"/>
      <c r="G243" s="332"/>
      <c r="H243" s="332"/>
      <c r="I243" s="349"/>
      <c r="J243" s="332"/>
      <c r="K243" s="332"/>
      <c r="L243" s="332"/>
      <c r="M243" s="332"/>
      <c r="N243" s="332"/>
      <c r="O243" s="332"/>
      <c r="P243" s="332"/>
      <c r="T243" s="332"/>
    </row>
    <row r="244" spans="5:20" s="4" customFormat="1" ht="12.75">
      <c r="E244" s="332"/>
      <c r="F244" s="332"/>
      <c r="G244" s="332"/>
      <c r="H244" s="332"/>
      <c r="I244" s="349"/>
      <c r="J244" s="332"/>
      <c r="K244" s="332"/>
      <c r="L244" s="332"/>
      <c r="M244" s="332"/>
      <c r="N244" s="332"/>
      <c r="O244" s="332"/>
      <c r="P244" s="332"/>
      <c r="T244" s="332"/>
    </row>
    <row r="245" spans="5:20" s="4" customFormat="1" ht="12.75">
      <c r="E245" s="332"/>
      <c r="F245" s="332"/>
      <c r="G245" s="332"/>
      <c r="H245" s="332"/>
      <c r="I245" s="349"/>
      <c r="J245" s="332"/>
      <c r="K245" s="332"/>
      <c r="L245" s="332"/>
      <c r="M245" s="332"/>
      <c r="N245" s="332"/>
      <c r="O245" s="332"/>
      <c r="P245" s="332"/>
      <c r="T245" s="332"/>
    </row>
    <row r="246" spans="5:20" s="4" customFormat="1" ht="12.75">
      <c r="E246" s="332"/>
      <c r="F246" s="332"/>
      <c r="G246" s="332"/>
      <c r="H246" s="332"/>
      <c r="I246" s="349"/>
      <c r="J246" s="332"/>
      <c r="K246" s="332"/>
      <c r="L246" s="332"/>
      <c r="M246" s="332"/>
      <c r="N246" s="332"/>
      <c r="O246" s="332"/>
      <c r="P246" s="332"/>
      <c r="T246" s="332"/>
    </row>
    <row r="247" spans="5:20" s="4" customFormat="1" ht="12.75">
      <c r="E247" s="332"/>
      <c r="F247" s="332"/>
      <c r="G247" s="332"/>
      <c r="H247" s="332"/>
      <c r="I247" s="349"/>
      <c r="J247" s="332"/>
      <c r="K247" s="332"/>
      <c r="L247" s="332"/>
      <c r="M247" s="332"/>
      <c r="N247" s="332"/>
      <c r="O247" s="332"/>
      <c r="P247" s="332"/>
      <c r="T247" s="332"/>
    </row>
    <row r="248" spans="5:20" s="4" customFormat="1" ht="12.75">
      <c r="E248" s="332"/>
      <c r="F248" s="332"/>
      <c r="G248" s="332"/>
      <c r="H248" s="332"/>
      <c r="I248" s="349"/>
      <c r="J248" s="332"/>
      <c r="K248" s="332"/>
      <c r="L248" s="332"/>
      <c r="M248" s="332"/>
      <c r="N248" s="332"/>
      <c r="O248" s="332"/>
      <c r="P248" s="332"/>
      <c r="T248" s="332"/>
    </row>
    <row r="249" spans="5:20" s="4" customFormat="1" ht="12.75">
      <c r="E249" s="332"/>
      <c r="F249" s="332"/>
      <c r="G249" s="332"/>
      <c r="H249" s="332"/>
      <c r="I249" s="349"/>
      <c r="J249" s="332"/>
      <c r="K249" s="332"/>
      <c r="L249" s="332"/>
      <c r="M249" s="332"/>
      <c r="N249" s="332"/>
      <c r="O249" s="332"/>
      <c r="P249" s="332"/>
      <c r="T249" s="332"/>
    </row>
    <row r="250" spans="5:20" s="4" customFormat="1" ht="12.75">
      <c r="E250" s="332"/>
      <c r="F250" s="332"/>
      <c r="G250" s="332"/>
      <c r="H250" s="332"/>
      <c r="I250" s="349"/>
      <c r="J250" s="332"/>
      <c r="K250" s="332"/>
      <c r="L250" s="332"/>
      <c r="M250" s="332"/>
      <c r="N250" s="332"/>
      <c r="O250" s="332"/>
      <c r="P250" s="332"/>
      <c r="T250" s="332"/>
    </row>
    <row r="251" spans="5:20" s="4" customFormat="1" ht="12.75">
      <c r="E251" s="332"/>
      <c r="F251" s="332"/>
      <c r="G251" s="332"/>
      <c r="H251" s="332"/>
      <c r="I251" s="349"/>
      <c r="J251" s="332"/>
      <c r="K251" s="332"/>
      <c r="L251" s="332"/>
      <c r="M251" s="332"/>
      <c r="N251" s="332"/>
      <c r="O251" s="332"/>
      <c r="P251" s="332"/>
      <c r="T251" s="332"/>
    </row>
    <row r="252" spans="5:20" s="4" customFormat="1" ht="12.75">
      <c r="E252" s="332"/>
      <c r="F252" s="332"/>
      <c r="G252" s="332"/>
      <c r="H252" s="332"/>
      <c r="I252" s="349"/>
      <c r="J252" s="332"/>
      <c r="K252" s="332"/>
      <c r="L252" s="332"/>
      <c r="M252" s="332"/>
      <c r="N252" s="332"/>
      <c r="O252" s="332"/>
      <c r="P252" s="332"/>
      <c r="T252" s="332"/>
    </row>
    <row r="253" spans="5:20" s="4" customFormat="1" ht="12.75">
      <c r="E253" s="332"/>
      <c r="F253" s="332"/>
      <c r="G253" s="332"/>
      <c r="H253" s="332"/>
      <c r="I253" s="349"/>
      <c r="J253" s="332"/>
      <c r="K253" s="332"/>
      <c r="L253" s="332"/>
      <c r="M253" s="332"/>
      <c r="N253" s="332"/>
      <c r="O253" s="332"/>
      <c r="P253" s="332"/>
      <c r="T253" s="332"/>
    </row>
    <row r="254" spans="5:20" s="4" customFormat="1" ht="12.75">
      <c r="E254" s="332"/>
      <c r="F254" s="332"/>
      <c r="G254" s="332"/>
      <c r="H254" s="332"/>
      <c r="I254" s="349"/>
      <c r="J254" s="332"/>
      <c r="K254" s="332"/>
      <c r="L254" s="332"/>
      <c r="M254" s="332"/>
      <c r="N254" s="332"/>
      <c r="O254" s="332"/>
      <c r="P254" s="332"/>
      <c r="T254" s="332"/>
    </row>
    <row r="255" spans="5:20" s="4" customFormat="1" ht="12.75">
      <c r="E255" s="332"/>
      <c r="F255" s="332"/>
      <c r="G255" s="332"/>
      <c r="H255" s="332"/>
      <c r="I255" s="349"/>
      <c r="J255" s="332"/>
      <c r="K255" s="332"/>
      <c r="L255" s="332"/>
      <c r="M255" s="332"/>
      <c r="N255" s="332"/>
      <c r="O255" s="332"/>
      <c r="P255" s="332"/>
      <c r="T255" s="332"/>
    </row>
    <row r="256" spans="5:20" s="4" customFormat="1" ht="12.75">
      <c r="E256" s="332"/>
      <c r="F256" s="332"/>
      <c r="G256" s="332"/>
      <c r="H256" s="332"/>
      <c r="I256" s="349"/>
      <c r="J256" s="332"/>
      <c r="K256" s="332"/>
      <c r="L256" s="332"/>
      <c r="M256" s="332"/>
      <c r="N256" s="332"/>
      <c r="O256" s="332"/>
      <c r="P256" s="332"/>
      <c r="T256" s="332"/>
    </row>
  </sheetData>
  <sheetProtection password="C703" sheet="1" objects="1" scenarios="1" selectLockedCells="1"/>
  <conditionalFormatting sqref="L2:N2">
    <cfRule type="cellIs" priority="1" dxfId="1" operator="equal" stopIfTrue="1">
      <formula>"Die Stürmer sind vergleichsweise gut"</formula>
    </cfRule>
  </conditionalFormatting>
  <conditionalFormatting sqref="J2">
    <cfRule type="cellIs" priority="2" dxfId="2" operator="greaterThan" stopIfTrue="1">
      <formula>0.6</formula>
    </cfRule>
    <cfRule type="cellIs" priority="3" dxfId="3" operator="between" stopIfTrue="1">
      <formula>0.45</formula>
      <formula>0.6</formula>
    </cfRule>
    <cfRule type="cellIs" priority="4" dxfId="4" operator="lessThan" stopIfTrue="1">
      <formula>0.45</formula>
    </cfRule>
  </conditionalFormatting>
  <conditionalFormatting sqref="J4">
    <cfRule type="cellIs" priority="5" dxfId="2" operator="lessThan" stopIfTrue="1">
      <formula>0.4</formula>
    </cfRule>
    <cfRule type="cellIs" priority="6" dxfId="3" operator="between" stopIfTrue="1">
      <formula>0.4</formula>
      <formula>0.6</formula>
    </cfRule>
    <cfRule type="cellIs" priority="7" dxfId="4" operator="greaterThan" stopIfTrue="1">
      <formula>0.6</formula>
    </cfRule>
  </conditionalFormatting>
  <conditionalFormatting sqref="I7:I40 L7:L40">
    <cfRule type="cellIs" priority="8" dxfId="5" operator="greaterThan" stopIfTrue="1">
      <formula>1000</formula>
    </cfRule>
    <cfRule type="cellIs" priority="9" dxfId="3" operator="between" stopIfTrue="1">
      <formula>0</formula>
      <formula>1</formula>
    </cfRule>
    <cfRule type="cellIs" priority="10" dxfId="4" operator="lessThan" stopIfTrue="1">
      <formula>0</formula>
    </cfRule>
  </conditionalFormatting>
  <conditionalFormatting sqref="C2">
    <cfRule type="cellIs" priority="11" dxfId="2" operator="greaterThan" stopIfTrue="1">
      <formula>1</formula>
    </cfRule>
    <cfRule type="cellIs" priority="12" dxfId="3" operator="between" stopIfTrue="1">
      <formula>-1</formula>
      <formula>1</formula>
    </cfRule>
    <cfRule type="cellIs" priority="13" dxfId="4" operator="lessThan" stopIfTrue="1">
      <formula>-1</formula>
    </cfRule>
  </conditionalFormatting>
  <conditionalFormatting sqref="C4">
    <cfRule type="cellIs" priority="14" dxfId="2" operator="greaterThan" stopIfTrue="1">
      <formula>1</formula>
    </cfRule>
    <cfRule type="cellIs" priority="15" dxfId="3" operator="between" stopIfTrue="1">
      <formula>-1</formula>
      <formula>1</formula>
    </cfRule>
    <cfRule type="cellIs" priority="16" dxfId="4" operator="lessThanOrEqual" stopIfTrue="1">
      <formula>-1</formula>
    </cfRule>
  </conditionalFormatting>
  <conditionalFormatting sqref="M7:M40">
    <cfRule type="cellIs" priority="17" dxfId="6" operator="greaterThan" stopIfTrue="1">
      <formula>0.6</formula>
    </cfRule>
    <cfRule type="cellIs" priority="18" dxfId="0" operator="lessThan" stopIfTrue="1">
      <formula>0.4</formula>
    </cfRule>
  </conditionalFormatting>
  <conditionalFormatting sqref="N7:N40">
    <cfRule type="cellIs" priority="19" dxfId="0" operator="greaterThan" stopIfTrue="1">
      <formula>0.6</formula>
    </cfRule>
    <cfRule type="cellIs" priority="20" dxfId="6" operator="lessThan" stopIfTrue="1">
      <formula>0.4</formula>
    </cfRule>
  </conditionalFormatting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"/>
  <dimension ref="A1:IV42"/>
  <sheetViews>
    <sheetView showGridLines="0" workbookViewId="0" topLeftCell="A49">
      <pane xSplit="1" topLeftCell="B1" activePane="topRight" state="frozen"/>
      <selection pane="topLeft" activeCell="A1" sqref="A1"/>
      <selection pane="topRight" activeCell="N56" sqref="N56"/>
    </sheetView>
  </sheetViews>
  <sheetFormatPr defaultColWidth="11.421875" defaultRowHeight="16.5" customHeight="1"/>
  <cols>
    <col min="1" max="20" width="9.140625" style="18" customWidth="1"/>
    <col min="21" max="39" width="9.57421875" style="18" customWidth="1"/>
    <col min="40" max="58" width="9.28125" style="18" customWidth="1"/>
    <col min="59" max="77" width="9.140625" style="18" customWidth="1"/>
    <col min="78" max="96" width="9.28125" style="18" customWidth="1"/>
    <col min="97" max="115" width="8.8515625" style="18" customWidth="1"/>
    <col min="116" max="134" width="9.421875" style="18" customWidth="1"/>
    <col min="135" max="153" width="9.7109375" style="18" customWidth="1"/>
    <col min="154" max="172" width="9.28125" style="18" customWidth="1"/>
    <col min="173" max="191" width="9.421875" style="18" customWidth="1"/>
    <col min="192" max="210" width="9.57421875" style="18" customWidth="1"/>
    <col min="211" max="229" width="9.7109375" style="18" customWidth="1"/>
    <col min="230" max="248" width="9.28125" style="18" customWidth="1"/>
    <col min="249" max="16384" width="11.00390625" style="18" customWidth="1"/>
  </cols>
  <sheetData>
    <row r="1" spans="1:230" ht="16.5" customHeight="1" hidden="1">
      <c r="A1" s="18" t="s">
        <v>67</v>
      </c>
      <c r="U1" s="18" t="s">
        <v>68</v>
      </c>
      <c r="AN1" s="18" t="s">
        <v>69</v>
      </c>
      <c r="BG1" s="18" t="s">
        <v>70</v>
      </c>
      <c r="BZ1" s="18" t="s">
        <v>71</v>
      </c>
      <c r="CS1" s="18" t="s">
        <v>72</v>
      </c>
      <c r="DL1" s="18" t="s">
        <v>79</v>
      </c>
      <c r="EE1" s="18" t="s">
        <v>74</v>
      </c>
      <c r="EX1" s="18" t="s">
        <v>75</v>
      </c>
      <c r="FQ1" s="18" t="s">
        <v>76</v>
      </c>
      <c r="GJ1" s="18" t="s">
        <v>77</v>
      </c>
      <c r="HC1" s="18" t="s">
        <v>78</v>
      </c>
      <c r="HV1" s="18" t="s">
        <v>80</v>
      </c>
    </row>
    <row r="2" spans="1:248" ht="16.5" customHeight="1" hidden="1">
      <c r="A2" s="228" t="s">
        <v>81</v>
      </c>
      <c r="B2" s="229">
        <v>17</v>
      </c>
      <c r="C2" s="229">
        <v>18</v>
      </c>
      <c r="D2" s="229">
        <v>19</v>
      </c>
      <c r="E2" s="229">
        <v>20</v>
      </c>
      <c r="F2" s="229">
        <v>21</v>
      </c>
      <c r="G2" s="229">
        <v>22</v>
      </c>
      <c r="H2" s="229">
        <v>23</v>
      </c>
      <c r="I2" s="229">
        <v>24</v>
      </c>
      <c r="J2" s="229">
        <v>25</v>
      </c>
      <c r="K2" s="229">
        <v>26</v>
      </c>
      <c r="L2" s="229">
        <v>27</v>
      </c>
      <c r="M2" s="229">
        <v>28</v>
      </c>
      <c r="N2" s="229">
        <v>29</v>
      </c>
      <c r="O2" s="229">
        <v>30</v>
      </c>
      <c r="P2" s="229">
        <v>31</v>
      </c>
      <c r="Q2" s="229">
        <v>32</v>
      </c>
      <c r="R2" s="229">
        <v>33</v>
      </c>
      <c r="S2" s="229">
        <v>34</v>
      </c>
      <c r="T2" s="230">
        <v>35</v>
      </c>
      <c r="U2" s="229">
        <v>17</v>
      </c>
      <c r="V2" s="229">
        <v>18</v>
      </c>
      <c r="W2" s="229">
        <v>19</v>
      </c>
      <c r="X2" s="229">
        <v>20</v>
      </c>
      <c r="Y2" s="229">
        <v>21</v>
      </c>
      <c r="Z2" s="229">
        <v>22</v>
      </c>
      <c r="AA2" s="229">
        <v>23</v>
      </c>
      <c r="AB2" s="229">
        <v>24</v>
      </c>
      <c r="AC2" s="229">
        <v>25</v>
      </c>
      <c r="AD2" s="229">
        <v>26</v>
      </c>
      <c r="AE2" s="229">
        <v>27</v>
      </c>
      <c r="AF2" s="229">
        <v>28</v>
      </c>
      <c r="AG2" s="229">
        <v>29</v>
      </c>
      <c r="AH2" s="229">
        <v>30</v>
      </c>
      <c r="AI2" s="229">
        <v>31</v>
      </c>
      <c r="AJ2" s="229">
        <v>32</v>
      </c>
      <c r="AK2" s="229">
        <v>33</v>
      </c>
      <c r="AL2" s="229">
        <v>34</v>
      </c>
      <c r="AM2" s="230">
        <v>35</v>
      </c>
      <c r="AN2" s="229">
        <v>17</v>
      </c>
      <c r="AO2" s="229">
        <v>18</v>
      </c>
      <c r="AP2" s="229">
        <v>19</v>
      </c>
      <c r="AQ2" s="229">
        <v>20</v>
      </c>
      <c r="AR2" s="229">
        <v>21</v>
      </c>
      <c r="AS2" s="229">
        <v>22</v>
      </c>
      <c r="AT2" s="229">
        <v>23</v>
      </c>
      <c r="AU2" s="229">
        <v>24</v>
      </c>
      <c r="AV2" s="229">
        <v>25</v>
      </c>
      <c r="AW2" s="229">
        <v>26</v>
      </c>
      <c r="AX2" s="229">
        <v>27</v>
      </c>
      <c r="AY2" s="229">
        <v>28</v>
      </c>
      <c r="AZ2" s="229">
        <v>29</v>
      </c>
      <c r="BA2" s="229">
        <v>30</v>
      </c>
      <c r="BB2" s="229">
        <v>31</v>
      </c>
      <c r="BC2" s="229">
        <v>32</v>
      </c>
      <c r="BD2" s="229">
        <v>33</v>
      </c>
      <c r="BE2" s="229">
        <v>34</v>
      </c>
      <c r="BF2" s="230">
        <v>35</v>
      </c>
      <c r="BG2" s="229">
        <v>17</v>
      </c>
      <c r="BH2" s="229">
        <v>18</v>
      </c>
      <c r="BI2" s="229">
        <v>19</v>
      </c>
      <c r="BJ2" s="229">
        <v>20</v>
      </c>
      <c r="BK2" s="229">
        <v>21</v>
      </c>
      <c r="BL2" s="229">
        <v>22</v>
      </c>
      <c r="BM2" s="229">
        <v>23</v>
      </c>
      <c r="BN2" s="229">
        <v>24</v>
      </c>
      <c r="BO2" s="229">
        <v>25</v>
      </c>
      <c r="BP2" s="229">
        <v>26</v>
      </c>
      <c r="BQ2" s="229">
        <v>27</v>
      </c>
      <c r="BR2" s="229">
        <v>28</v>
      </c>
      <c r="BS2" s="229">
        <v>29</v>
      </c>
      <c r="BT2" s="229">
        <v>30</v>
      </c>
      <c r="BU2" s="229">
        <v>31</v>
      </c>
      <c r="BV2" s="229">
        <v>32</v>
      </c>
      <c r="BW2" s="229">
        <v>33</v>
      </c>
      <c r="BX2" s="229">
        <v>34</v>
      </c>
      <c r="BY2" s="230">
        <v>35</v>
      </c>
      <c r="BZ2" s="229">
        <v>17</v>
      </c>
      <c r="CA2" s="229">
        <v>18</v>
      </c>
      <c r="CB2" s="229">
        <v>19</v>
      </c>
      <c r="CC2" s="229">
        <v>20</v>
      </c>
      <c r="CD2" s="229">
        <v>21</v>
      </c>
      <c r="CE2" s="229">
        <v>22</v>
      </c>
      <c r="CF2" s="229">
        <v>23</v>
      </c>
      <c r="CG2" s="229">
        <v>24</v>
      </c>
      <c r="CH2" s="229">
        <v>25</v>
      </c>
      <c r="CI2" s="229">
        <v>26</v>
      </c>
      <c r="CJ2" s="229">
        <v>27</v>
      </c>
      <c r="CK2" s="229">
        <v>28</v>
      </c>
      <c r="CL2" s="229">
        <v>29</v>
      </c>
      <c r="CM2" s="229">
        <v>30</v>
      </c>
      <c r="CN2" s="229">
        <v>31</v>
      </c>
      <c r="CO2" s="229">
        <v>32</v>
      </c>
      <c r="CP2" s="229">
        <v>33</v>
      </c>
      <c r="CQ2" s="229">
        <v>34</v>
      </c>
      <c r="CR2" s="230">
        <v>35</v>
      </c>
      <c r="CS2" s="229">
        <v>17</v>
      </c>
      <c r="CT2" s="229">
        <v>18</v>
      </c>
      <c r="CU2" s="229">
        <v>19</v>
      </c>
      <c r="CV2" s="229">
        <v>20</v>
      </c>
      <c r="CW2" s="229">
        <v>21</v>
      </c>
      <c r="CX2" s="229">
        <v>22</v>
      </c>
      <c r="CY2" s="229">
        <v>23</v>
      </c>
      <c r="CZ2" s="229">
        <v>24</v>
      </c>
      <c r="DA2" s="229">
        <v>25</v>
      </c>
      <c r="DB2" s="229">
        <v>26</v>
      </c>
      <c r="DC2" s="229">
        <v>27</v>
      </c>
      <c r="DD2" s="229">
        <v>28</v>
      </c>
      <c r="DE2" s="229">
        <v>29</v>
      </c>
      <c r="DF2" s="229">
        <v>30</v>
      </c>
      <c r="DG2" s="229">
        <v>31</v>
      </c>
      <c r="DH2" s="229">
        <v>32</v>
      </c>
      <c r="DI2" s="229">
        <v>33</v>
      </c>
      <c r="DJ2" s="229">
        <v>34</v>
      </c>
      <c r="DK2" s="230">
        <v>35</v>
      </c>
      <c r="DL2" s="231">
        <v>17</v>
      </c>
      <c r="DM2" s="229">
        <v>18</v>
      </c>
      <c r="DN2" s="229">
        <v>19</v>
      </c>
      <c r="DO2" s="229">
        <v>20</v>
      </c>
      <c r="DP2" s="229">
        <v>21</v>
      </c>
      <c r="DQ2" s="229">
        <v>22</v>
      </c>
      <c r="DR2" s="229">
        <v>23</v>
      </c>
      <c r="DS2" s="229">
        <v>24</v>
      </c>
      <c r="DT2" s="229">
        <v>25</v>
      </c>
      <c r="DU2" s="229">
        <v>26</v>
      </c>
      <c r="DV2" s="229">
        <v>27</v>
      </c>
      <c r="DW2" s="229">
        <v>28</v>
      </c>
      <c r="DX2" s="229">
        <v>29</v>
      </c>
      <c r="DY2" s="229">
        <v>30</v>
      </c>
      <c r="DZ2" s="229">
        <v>31</v>
      </c>
      <c r="EA2" s="229">
        <v>32</v>
      </c>
      <c r="EB2" s="229">
        <v>33</v>
      </c>
      <c r="EC2" s="229">
        <v>34</v>
      </c>
      <c r="ED2" s="230">
        <v>35</v>
      </c>
      <c r="EE2" s="229">
        <v>17</v>
      </c>
      <c r="EF2" s="229">
        <v>18</v>
      </c>
      <c r="EG2" s="229">
        <v>19</v>
      </c>
      <c r="EH2" s="229">
        <v>20</v>
      </c>
      <c r="EI2" s="229">
        <v>21</v>
      </c>
      <c r="EJ2" s="229">
        <v>22</v>
      </c>
      <c r="EK2" s="229">
        <v>23</v>
      </c>
      <c r="EL2" s="229">
        <v>24</v>
      </c>
      <c r="EM2" s="229">
        <v>25</v>
      </c>
      <c r="EN2" s="229">
        <v>26</v>
      </c>
      <c r="EO2" s="229">
        <v>27</v>
      </c>
      <c r="EP2" s="229">
        <v>28</v>
      </c>
      <c r="EQ2" s="229">
        <v>29</v>
      </c>
      <c r="ER2" s="229">
        <v>30</v>
      </c>
      <c r="ES2" s="229">
        <v>31</v>
      </c>
      <c r="ET2" s="229">
        <v>32</v>
      </c>
      <c r="EU2" s="229">
        <v>33</v>
      </c>
      <c r="EV2" s="229">
        <v>34</v>
      </c>
      <c r="EW2" s="230">
        <v>35</v>
      </c>
      <c r="EX2" s="229">
        <v>17</v>
      </c>
      <c r="EY2" s="229">
        <v>18</v>
      </c>
      <c r="EZ2" s="229">
        <v>19</v>
      </c>
      <c r="FA2" s="229">
        <v>20</v>
      </c>
      <c r="FB2" s="229">
        <v>21</v>
      </c>
      <c r="FC2" s="229">
        <v>22</v>
      </c>
      <c r="FD2" s="229">
        <v>23</v>
      </c>
      <c r="FE2" s="229">
        <v>24</v>
      </c>
      <c r="FF2" s="229">
        <v>25</v>
      </c>
      <c r="FG2" s="229">
        <v>26</v>
      </c>
      <c r="FH2" s="229">
        <v>27</v>
      </c>
      <c r="FI2" s="229">
        <v>28</v>
      </c>
      <c r="FJ2" s="229">
        <v>29</v>
      </c>
      <c r="FK2" s="229">
        <v>30</v>
      </c>
      <c r="FL2" s="229">
        <v>31</v>
      </c>
      <c r="FM2" s="229">
        <v>32</v>
      </c>
      <c r="FN2" s="229">
        <v>33</v>
      </c>
      <c r="FO2" s="229">
        <v>34</v>
      </c>
      <c r="FP2" s="230">
        <v>35</v>
      </c>
      <c r="FQ2" s="229">
        <v>17</v>
      </c>
      <c r="FR2" s="229">
        <v>18</v>
      </c>
      <c r="FS2" s="229">
        <v>19</v>
      </c>
      <c r="FT2" s="229">
        <v>20</v>
      </c>
      <c r="FU2" s="229">
        <v>21</v>
      </c>
      <c r="FV2" s="229">
        <v>22</v>
      </c>
      <c r="FW2" s="229">
        <v>23</v>
      </c>
      <c r="FX2" s="229">
        <v>24</v>
      </c>
      <c r="FY2" s="229">
        <v>25</v>
      </c>
      <c r="FZ2" s="229">
        <v>26</v>
      </c>
      <c r="GA2" s="229">
        <v>27</v>
      </c>
      <c r="GB2" s="229">
        <v>28</v>
      </c>
      <c r="GC2" s="229">
        <v>29</v>
      </c>
      <c r="GD2" s="229">
        <v>30</v>
      </c>
      <c r="GE2" s="229">
        <v>31</v>
      </c>
      <c r="GF2" s="229">
        <v>32</v>
      </c>
      <c r="GG2" s="229">
        <v>33</v>
      </c>
      <c r="GH2" s="229">
        <v>34</v>
      </c>
      <c r="GI2" s="230">
        <v>35</v>
      </c>
      <c r="GJ2" s="229">
        <v>17</v>
      </c>
      <c r="GK2" s="229">
        <v>18</v>
      </c>
      <c r="GL2" s="229">
        <v>19</v>
      </c>
      <c r="GM2" s="229">
        <v>20</v>
      </c>
      <c r="GN2" s="229">
        <v>21</v>
      </c>
      <c r="GO2" s="229">
        <v>22</v>
      </c>
      <c r="GP2" s="229">
        <v>23</v>
      </c>
      <c r="GQ2" s="229">
        <v>24</v>
      </c>
      <c r="GR2" s="229">
        <v>25</v>
      </c>
      <c r="GS2" s="229">
        <v>26</v>
      </c>
      <c r="GT2" s="229">
        <v>27</v>
      </c>
      <c r="GU2" s="229">
        <v>28</v>
      </c>
      <c r="GV2" s="229">
        <v>29</v>
      </c>
      <c r="GW2" s="229">
        <v>30</v>
      </c>
      <c r="GX2" s="229">
        <v>31</v>
      </c>
      <c r="GY2" s="229">
        <v>32</v>
      </c>
      <c r="GZ2" s="229">
        <v>33</v>
      </c>
      <c r="HA2" s="229">
        <v>34</v>
      </c>
      <c r="HB2" s="230">
        <v>35</v>
      </c>
      <c r="HC2" s="229">
        <v>17</v>
      </c>
      <c r="HD2" s="229">
        <v>18</v>
      </c>
      <c r="HE2" s="229">
        <v>19</v>
      </c>
      <c r="HF2" s="229">
        <v>20</v>
      </c>
      <c r="HG2" s="229">
        <v>21</v>
      </c>
      <c r="HH2" s="229">
        <v>22</v>
      </c>
      <c r="HI2" s="229">
        <v>23</v>
      </c>
      <c r="HJ2" s="229">
        <v>24</v>
      </c>
      <c r="HK2" s="229">
        <v>25</v>
      </c>
      <c r="HL2" s="229">
        <v>26</v>
      </c>
      <c r="HM2" s="229">
        <v>27</v>
      </c>
      <c r="HN2" s="229">
        <v>28</v>
      </c>
      <c r="HO2" s="229">
        <v>29</v>
      </c>
      <c r="HP2" s="229">
        <v>30</v>
      </c>
      <c r="HQ2" s="229">
        <v>31</v>
      </c>
      <c r="HR2" s="229">
        <v>32</v>
      </c>
      <c r="HS2" s="229">
        <v>33</v>
      </c>
      <c r="HT2" s="229">
        <v>34</v>
      </c>
      <c r="HU2" s="230">
        <v>35</v>
      </c>
      <c r="HV2" s="229">
        <v>17</v>
      </c>
      <c r="HW2" s="229">
        <v>18</v>
      </c>
      <c r="HX2" s="229">
        <v>19</v>
      </c>
      <c r="HY2" s="229">
        <v>20</v>
      </c>
      <c r="HZ2" s="229">
        <v>21</v>
      </c>
      <c r="IA2" s="229">
        <v>22</v>
      </c>
      <c r="IB2" s="229">
        <v>23</v>
      </c>
      <c r="IC2" s="229">
        <v>24</v>
      </c>
      <c r="ID2" s="229">
        <v>25</v>
      </c>
      <c r="IE2" s="229">
        <v>26</v>
      </c>
      <c r="IF2" s="229">
        <v>27</v>
      </c>
      <c r="IG2" s="229">
        <v>28</v>
      </c>
      <c r="IH2" s="229">
        <v>29</v>
      </c>
      <c r="II2" s="229">
        <v>30</v>
      </c>
      <c r="IJ2" s="229">
        <v>31</v>
      </c>
      <c r="IK2" s="229">
        <v>32</v>
      </c>
      <c r="IL2" s="229">
        <v>33</v>
      </c>
      <c r="IM2" s="229">
        <v>34</v>
      </c>
      <c r="IN2" s="230">
        <v>35</v>
      </c>
    </row>
    <row r="3" spans="1:256" s="233" customFormat="1" ht="16.5" customHeight="1" hidden="1">
      <c r="A3" s="232">
        <v>2</v>
      </c>
      <c r="C3" s="233">
        <v>100000</v>
      </c>
      <c r="D3" s="233">
        <v>21900</v>
      </c>
      <c r="E3" s="233">
        <v>20700</v>
      </c>
      <c r="F3" s="233">
        <v>0</v>
      </c>
      <c r="G3" s="233">
        <v>0</v>
      </c>
      <c r="H3" s="233">
        <v>0</v>
      </c>
      <c r="T3" s="234"/>
      <c r="V3" s="233">
        <v>200000</v>
      </c>
      <c r="W3" s="233">
        <v>60000</v>
      </c>
      <c r="X3" s="233">
        <v>0</v>
      </c>
      <c r="Y3" s="233">
        <v>7100</v>
      </c>
      <c r="Z3" s="233">
        <v>300</v>
      </c>
      <c r="AA3" s="233">
        <v>0</v>
      </c>
      <c r="AM3" s="234"/>
      <c r="AO3" s="233">
        <v>209100</v>
      </c>
      <c r="AP3" s="233">
        <v>85000</v>
      </c>
      <c r="AQ3" s="233">
        <v>0</v>
      </c>
      <c r="AR3" s="233">
        <v>12300</v>
      </c>
      <c r="AS3" s="233">
        <v>0</v>
      </c>
      <c r="AT3" s="233">
        <v>0</v>
      </c>
      <c r="BF3" s="234"/>
      <c r="BH3" s="233">
        <v>190000</v>
      </c>
      <c r="BI3" s="233">
        <v>77000</v>
      </c>
      <c r="BJ3" s="233">
        <v>0</v>
      </c>
      <c r="BK3" s="233">
        <v>13600</v>
      </c>
      <c r="BL3" s="233">
        <v>0</v>
      </c>
      <c r="BM3" s="233">
        <v>0</v>
      </c>
      <c r="BY3" s="234"/>
      <c r="CA3" s="233">
        <v>178600</v>
      </c>
      <c r="CB3" s="233">
        <v>50000</v>
      </c>
      <c r="CC3" s="233">
        <v>0</v>
      </c>
      <c r="CD3" s="233">
        <v>9900</v>
      </c>
      <c r="CE3" s="233">
        <v>1000</v>
      </c>
      <c r="CF3" s="233">
        <v>0</v>
      </c>
      <c r="CR3" s="234"/>
      <c r="CT3" s="233">
        <v>5500</v>
      </c>
      <c r="CU3" s="233">
        <v>3000</v>
      </c>
      <c r="CV3" s="233">
        <v>0</v>
      </c>
      <c r="CW3" s="233">
        <v>0</v>
      </c>
      <c r="CX3" s="233">
        <v>0</v>
      </c>
      <c r="CY3" s="233">
        <v>0</v>
      </c>
      <c r="DK3" s="234"/>
      <c r="DL3" s="235"/>
      <c r="DM3" s="233">
        <v>50000</v>
      </c>
      <c r="DN3" s="233">
        <v>15000</v>
      </c>
      <c r="DO3" s="233">
        <v>4000</v>
      </c>
      <c r="DP3" s="233">
        <v>0</v>
      </c>
      <c r="DQ3" s="233">
        <v>0</v>
      </c>
      <c r="DR3" s="233">
        <v>100</v>
      </c>
      <c r="ED3" s="234"/>
      <c r="EF3" s="233">
        <v>79000</v>
      </c>
      <c r="EG3" s="233">
        <v>25000</v>
      </c>
      <c r="EH3" s="233">
        <v>0</v>
      </c>
      <c r="EI3" s="233">
        <v>4400</v>
      </c>
      <c r="EJ3" s="233">
        <v>0</v>
      </c>
      <c r="EK3" s="233">
        <v>0</v>
      </c>
      <c r="EW3" s="234"/>
      <c r="EY3" s="233">
        <v>120000</v>
      </c>
      <c r="EZ3" s="233">
        <v>43100</v>
      </c>
      <c r="FA3" s="233">
        <v>0</v>
      </c>
      <c r="FB3" s="233">
        <v>10000</v>
      </c>
      <c r="FC3" s="233">
        <v>0</v>
      </c>
      <c r="FD3" s="233">
        <v>0</v>
      </c>
      <c r="FP3" s="234"/>
      <c r="FR3" s="233">
        <v>120000</v>
      </c>
      <c r="FS3" s="233">
        <v>50000</v>
      </c>
      <c r="FT3" s="233">
        <v>60000</v>
      </c>
      <c r="FU3" s="233">
        <v>9300</v>
      </c>
      <c r="FV3" s="233">
        <v>0</v>
      </c>
      <c r="FW3" s="233">
        <v>0</v>
      </c>
      <c r="GI3" s="234"/>
      <c r="GK3" s="233">
        <v>151000</v>
      </c>
      <c r="GL3" s="233">
        <v>55500</v>
      </c>
      <c r="GM3" s="233">
        <v>0</v>
      </c>
      <c r="GN3" s="233">
        <v>10000</v>
      </c>
      <c r="GO3" s="233">
        <v>1000</v>
      </c>
      <c r="GP3" s="233">
        <v>0</v>
      </c>
      <c r="HB3" s="234"/>
      <c r="HD3" s="233">
        <v>100000</v>
      </c>
      <c r="HE3" s="233">
        <v>33000</v>
      </c>
      <c r="HF3" s="233">
        <v>20000</v>
      </c>
      <c r="HG3" s="233">
        <v>5000</v>
      </c>
      <c r="HH3" s="233">
        <v>2500</v>
      </c>
      <c r="HI3" s="233">
        <v>0</v>
      </c>
      <c r="HU3" s="234"/>
      <c r="HW3" s="233">
        <v>81000</v>
      </c>
      <c r="HX3" s="233">
        <v>25300</v>
      </c>
      <c r="HY3" s="233">
        <v>17400</v>
      </c>
      <c r="HZ3" s="233">
        <v>3100</v>
      </c>
      <c r="IA3" s="233">
        <v>1500</v>
      </c>
      <c r="IB3" s="233">
        <v>0</v>
      </c>
      <c r="IN3" s="234"/>
      <c r="IO3" s="18"/>
      <c r="IP3" s="18"/>
      <c r="IQ3" s="18"/>
      <c r="IR3" s="18"/>
      <c r="IS3" s="18"/>
      <c r="IT3" s="18"/>
      <c r="IU3" s="18"/>
      <c r="IV3" s="18"/>
    </row>
    <row r="4" spans="1:256" s="233" customFormat="1" ht="16.5" customHeight="1" hidden="1">
      <c r="A4" s="232">
        <v>3</v>
      </c>
      <c r="C4" s="233">
        <v>220400</v>
      </c>
      <c r="D4" s="233">
        <v>70000</v>
      </c>
      <c r="E4" s="233">
        <v>35000</v>
      </c>
      <c r="F4" s="233">
        <v>26600</v>
      </c>
      <c r="G4" s="233">
        <v>13300</v>
      </c>
      <c r="H4" s="233">
        <v>5500</v>
      </c>
      <c r="I4" s="233">
        <v>3000</v>
      </c>
      <c r="J4" s="233">
        <v>0</v>
      </c>
      <c r="T4" s="234"/>
      <c r="V4" s="233">
        <v>377700</v>
      </c>
      <c r="W4" s="233">
        <v>150000</v>
      </c>
      <c r="X4" s="233">
        <v>120000</v>
      </c>
      <c r="Y4" s="233">
        <v>60000</v>
      </c>
      <c r="Z4" s="233">
        <v>30100</v>
      </c>
      <c r="AA4" s="233">
        <v>12400</v>
      </c>
      <c r="AB4" s="233">
        <v>5100</v>
      </c>
      <c r="AC4" s="233">
        <v>0</v>
      </c>
      <c r="AM4" s="234"/>
      <c r="AO4" s="233">
        <v>420200</v>
      </c>
      <c r="AP4" s="233">
        <v>179000</v>
      </c>
      <c r="AQ4" s="233">
        <v>135600</v>
      </c>
      <c r="AR4" s="233">
        <v>70000</v>
      </c>
      <c r="AS4" s="233">
        <v>40000</v>
      </c>
      <c r="AT4" s="233">
        <v>20900</v>
      </c>
      <c r="AU4" s="233">
        <v>2100</v>
      </c>
      <c r="AV4" s="233">
        <v>0</v>
      </c>
      <c r="BF4" s="234"/>
      <c r="BH4" s="233">
        <v>555500</v>
      </c>
      <c r="BI4" s="233">
        <v>199000</v>
      </c>
      <c r="BJ4" s="233">
        <v>167800</v>
      </c>
      <c r="BK4" s="233">
        <v>80000</v>
      </c>
      <c r="BL4" s="233">
        <v>39800</v>
      </c>
      <c r="BM4" s="233">
        <v>21000</v>
      </c>
      <c r="BN4" s="233">
        <v>1000</v>
      </c>
      <c r="BO4" s="233">
        <v>1000</v>
      </c>
      <c r="BY4" s="234"/>
      <c r="CA4" s="233">
        <v>377700</v>
      </c>
      <c r="CB4" s="233">
        <v>150000</v>
      </c>
      <c r="CC4" s="233">
        <v>111000</v>
      </c>
      <c r="CD4" s="233">
        <v>60000</v>
      </c>
      <c r="CE4" s="233">
        <v>40000</v>
      </c>
      <c r="CF4" s="233">
        <v>20000</v>
      </c>
      <c r="CG4" s="233">
        <v>7000</v>
      </c>
      <c r="CH4" s="233">
        <v>500</v>
      </c>
      <c r="CR4" s="234"/>
      <c r="CT4" s="233">
        <v>60100</v>
      </c>
      <c r="CU4" s="233">
        <v>20000</v>
      </c>
      <c r="CV4" s="233">
        <v>500</v>
      </c>
      <c r="CW4" s="233">
        <v>5000</v>
      </c>
      <c r="CX4" s="233">
        <v>5000</v>
      </c>
      <c r="CY4" s="233">
        <v>1900</v>
      </c>
      <c r="CZ4" s="233">
        <v>200</v>
      </c>
      <c r="DA4" s="233">
        <v>100</v>
      </c>
      <c r="DK4" s="234"/>
      <c r="DL4" s="235"/>
      <c r="DM4" s="233">
        <v>192000</v>
      </c>
      <c r="DN4" s="233">
        <v>68800</v>
      </c>
      <c r="DO4" s="233">
        <v>60000</v>
      </c>
      <c r="DP4" s="233">
        <v>30000</v>
      </c>
      <c r="DQ4" s="233">
        <v>18400</v>
      </c>
      <c r="DR4" s="233">
        <v>19000</v>
      </c>
      <c r="DS4" s="233">
        <v>10000</v>
      </c>
      <c r="DT4" s="233">
        <v>5000</v>
      </c>
      <c r="ED4" s="234"/>
      <c r="EF4" s="233">
        <v>230000</v>
      </c>
      <c r="EG4" s="233">
        <v>100000</v>
      </c>
      <c r="EH4" s="233">
        <v>0</v>
      </c>
      <c r="EI4" s="233">
        <v>50000</v>
      </c>
      <c r="EJ4" s="233">
        <v>24000</v>
      </c>
      <c r="EK4" s="233">
        <v>15500</v>
      </c>
      <c r="EL4" s="233">
        <v>5000</v>
      </c>
      <c r="EM4" s="233">
        <v>300</v>
      </c>
      <c r="EW4" s="234"/>
      <c r="EY4" s="233">
        <v>420200</v>
      </c>
      <c r="EZ4" s="233">
        <v>145800</v>
      </c>
      <c r="FA4" s="233">
        <v>175000</v>
      </c>
      <c r="FB4" s="233">
        <v>65000</v>
      </c>
      <c r="FC4" s="233">
        <v>40000</v>
      </c>
      <c r="FD4" s="233">
        <v>20000</v>
      </c>
      <c r="FE4" s="233">
        <v>2100</v>
      </c>
      <c r="FF4" s="233">
        <v>0</v>
      </c>
      <c r="FP4" s="234"/>
      <c r="FR4" s="233">
        <v>396700</v>
      </c>
      <c r="FS4" s="233">
        <v>122200</v>
      </c>
      <c r="FT4" s="233">
        <v>110000</v>
      </c>
      <c r="FU4" s="233">
        <v>55200</v>
      </c>
      <c r="FV4" s="233">
        <v>33300</v>
      </c>
      <c r="FW4" s="233">
        <v>15000</v>
      </c>
      <c r="FX4" s="233">
        <v>1000</v>
      </c>
      <c r="FY4" s="233">
        <v>0</v>
      </c>
      <c r="GI4" s="234"/>
      <c r="GK4" s="233">
        <v>400000</v>
      </c>
      <c r="GL4" s="233">
        <v>155800</v>
      </c>
      <c r="GM4" s="233">
        <v>105000</v>
      </c>
      <c r="GN4" s="233">
        <v>68000</v>
      </c>
      <c r="GO4" s="233">
        <v>8000</v>
      </c>
      <c r="GP4" s="233">
        <v>28000</v>
      </c>
      <c r="GQ4" s="233">
        <v>9900</v>
      </c>
      <c r="GR4" s="233">
        <v>400</v>
      </c>
      <c r="HB4" s="234"/>
      <c r="HD4" s="233">
        <v>260100</v>
      </c>
      <c r="HE4" s="233">
        <v>115000</v>
      </c>
      <c r="HF4" s="233">
        <v>80000</v>
      </c>
      <c r="HG4" s="233">
        <v>60000</v>
      </c>
      <c r="HH4" s="233">
        <v>40000</v>
      </c>
      <c r="HI4" s="233">
        <v>32000</v>
      </c>
      <c r="HJ4" s="233">
        <v>25500</v>
      </c>
      <c r="HK4" s="233">
        <v>10000</v>
      </c>
      <c r="HU4" s="234"/>
      <c r="HW4" s="233">
        <v>200000</v>
      </c>
      <c r="HX4" s="233">
        <v>100000</v>
      </c>
      <c r="HY4" s="233">
        <v>75000</v>
      </c>
      <c r="HZ4" s="233">
        <v>50000</v>
      </c>
      <c r="IA4" s="233">
        <v>40000</v>
      </c>
      <c r="IB4" s="233">
        <v>25000</v>
      </c>
      <c r="IC4" s="233">
        <v>14000</v>
      </c>
      <c r="ID4" s="233">
        <v>5800</v>
      </c>
      <c r="IN4" s="234"/>
      <c r="IO4" s="18"/>
      <c r="IP4" s="18"/>
      <c r="IQ4" s="18"/>
      <c r="IR4" s="18"/>
      <c r="IS4" s="18"/>
      <c r="IT4" s="18"/>
      <c r="IU4" s="18"/>
      <c r="IV4" s="18"/>
    </row>
    <row r="5" spans="1:256" s="233" customFormat="1" ht="16.5" customHeight="1" hidden="1">
      <c r="A5" s="232">
        <v>4</v>
      </c>
      <c r="C5" s="233">
        <v>450300</v>
      </c>
      <c r="D5" s="233">
        <v>170000</v>
      </c>
      <c r="E5" s="233">
        <v>92000</v>
      </c>
      <c r="F5" s="233">
        <v>75000</v>
      </c>
      <c r="G5" s="233">
        <v>73000</v>
      </c>
      <c r="H5" s="233">
        <v>70000</v>
      </c>
      <c r="I5" s="233">
        <v>50000</v>
      </c>
      <c r="J5" s="233">
        <v>34000</v>
      </c>
      <c r="K5" s="233">
        <v>22000</v>
      </c>
      <c r="L5" s="233">
        <v>14000</v>
      </c>
      <c r="M5" s="233">
        <v>10000</v>
      </c>
      <c r="N5" s="233">
        <v>5000</v>
      </c>
      <c r="O5" s="233">
        <v>3500</v>
      </c>
      <c r="P5" s="233">
        <v>1900</v>
      </c>
      <c r="T5" s="234"/>
      <c r="V5" s="233">
        <v>789900</v>
      </c>
      <c r="W5" s="233">
        <v>300000</v>
      </c>
      <c r="X5" s="233">
        <v>200000</v>
      </c>
      <c r="Y5" s="233">
        <v>156000</v>
      </c>
      <c r="Z5" s="233">
        <v>110100</v>
      </c>
      <c r="AA5" s="233">
        <v>80000</v>
      </c>
      <c r="AB5" s="233">
        <v>52000</v>
      </c>
      <c r="AC5" s="233">
        <v>37100</v>
      </c>
      <c r="AD5" s="233">
        <v>27000</v>
      </c>
      <c r="AE5" s="233">
        <v>12900</v>
      </c>
      <c r="AF5" s="233">
        <v>10000</v>
      </c>
      <c r="AG5" s="233">
        <v>3000</v>
      </c>
      <c r="AH5" s="233">
        <v>2000</v>
      </c>
      <c r="AI5" s="233">
        <v>1500</v>
      </c>
      <c r="AM5" s="234"/>
      <c r="AO5" s="233">
        <v>1000000</v>
      </c>
      <c r="AP5" s="233">
        <v>330000</v>
      </c>
      <c r="AQ5" s="233">
        <v>247700</v>
      </c>
      <c r="AR5" s="233">
        <v>173000</v>
      </c>
      <c r="AS5" s="233">
        <v>120000</v>
      </c>
      <c r="AT5" s="233">
        <v>85400</v>
      </c>
      <c r="AU5" s="233">
        <v>60000</v>
      </c>
      <c r="AV5" s="233">
        <v>40000</v>
      </c>
      <c r="AW5" s="233">
        <v>25000</v>
      </c>
      <c r="AX5" s="233">
        <v>14000</v>
      </c>
      <c r="AY5" s="233">
        <v>12000</v>
      </c>
      <c r="AZ5" s="233">
        <v>4500</v>
      </c>
      <c r="BA5" s="233">
        <v>4000</v>
      </c>
      <c r="BB5" s="233">
        <v>1500</v>
      </c>
      <c r="BF5" s="234"/>
      <c r="BH5" s="233">
        <v>1226100</v>
      </c>
      <c r="BI5" s="233">
        <v>399000</v>
      </c>
      <c r="BJ5" s="233">
        <v>252600</v>
      </c>
      <c r="BK5" s="233">
        <v>189700</v>
      </c>
      <c r="BL5" s="233">
        <v>120000</v>
      </c>
      <c r="BM5" s="233">
        <v>97000</v>
      </c>
      <c r="BN5" s="233">
        <v>60000</v>
      </c>
      <c r="BO5" s="233">
        <v>48900</v>
      </c>
      <c r="BP5" s="233">
        <v>25000</v>
      </c>
      <c r="BQ5" s="233">
        <v>15000</v>
      </c>
      <c r="BR5" s="233">
        <v>10000</v>
      </c>
      <c r="BS5" s="233">
        <v>4700</v>
      </c>
      <c r="BT5" s="233">
        <v>3000</v>
      </c>
      <c r="BU5" s="233">
        <v>1500</v>
      </c>
      <c r="BY5" s="234"/>
      <c r="CA5" s="233">
        <v>750000</v>
      </c>
      <c r="CB5" s="233">
        <v>301000</v>
      </c>
      <c r="CC5" s="233">
        <v>222000</v>
      </c>
      <c r="CD5" s="233">
        <v>135500</v>
      </c>
      <c r="CE5" s="233">
        <v>100000</v>
      </c>
      <c r="CF5" s="233">
        <v>92500</v>
      </c>
      <c r="CG5" s="233">
        <v>68100</v>
      </c>
      <c r="CH5" s="233">
        <v>40000</v>
      </c>
      <c r="CI5" s="233">
        <v>20500</v>
      </c>
      <c r="CJ5" s="233">
        <v>12000</v>
      </c>
      <c r="CK5" s="233">
        <v>9600</v>
      </c>
      <c r="CL5" s="233">
        <v>5000</v>
      </c>
      <c r="CM5" s="233">
        <v>4500</v>
      </c>
      <c r="CN5" s="233">
        <v>2000</v>
      </c>
      <c r="CR5" s="234"/>
      <c r="CT5" s="233">
        <v>260000</v>
      </c>
      <c r="CU5" s="233">
        <v>79000</v>
      </c>
      <c r="CV5" s="233">
        <v>40000</v>
      </c>
      <c r="CW5" s="233">
        <v>35500</v>
      </c>
      <c r="CX5" s="233">
        <v>30000</v>
      </c>
      <c r="CY5" s="233">
        <v>35000</v>
      </c>
      <c r="CZ5" s="233">
        <v>20500</v>
      </c>
      <c r="DA5" s="233">
        <v>10800</v>
      </c>
      <c r="DB5" s="233">
        <v>5000</v>
      </c>
      <c r="DC5" s="233">
        <v>1600</v>
      </c>
      <c r="DD5" s="233">
        <v>3000</v>
      </c>
      <c r="DE5" s="233">
        <v>0</v>
      </c>
      <c r="DF5" s="233">
        <v>300</v>
      </c>
      <c r="DG5" s="233">
        <v>0</v>
      </c>
      <c r="DK5" s="234"/>
      <c r="DL5" s="235"/>
      <c r="DM5" s="233">
        <v>483400</v>
      </c>
      <c r="DN5" s="233">
        <v>180000</v>
      </c>
      <c r="DO5" s="233">
        <v>150000</v>
      </c>
      <c r="DP5" s="233">
        <v>116000</v>
      </c>
      <c r="DQ5" s="233">
        <v>100000</v>
      </c>
      <c r="DR5" s="233">
        <v>110000</v>
      </c>
      <c r="DS5" s="233">
        <v>83400</v>
      </c>
      <c r="DT5" s="233">
        <v>60000</v>
      </c>
      <c r="DU5" s="233">
        <v>45000</v>
      </c>
      <c r="DV5" s="233">
        <v>42500</v>
      </c>
      <c r="DW5" s="233">
        <v>35900</v>
      </c>
      <c r="DX5" s="233">
        <v>30000</v>
      </c>
      <c r="DY5" s="233">
        <v>25000</v>
      </c>
      <c r="DZ5" s="233">
        <v>15600</v>
      </c>
      <c r="ED5" s="234"/>
      <c r="EF5" s="233">
        <v>500100</v>
      </c>
      <c r="EG5" s="233">
        <v>210000</v>
      </c>
      <c r="EH5" s="233">
        <v>144400</v>
      </c>
      <c r="EI5" s="233">
        <v>101000</v>
      </c>
      <c r="EJ5" s="233">
        <v>80000</v>
      </c>
      <c r="EK5" s="233">
        <v>50000</v>
      </c>
      <c r="EL5" s="233">
        <v>38000</v>
      </c>
      <c r="EM5" s="233">
        <v>26100</v>
      </c>
      <c r="EN5" s="233">
        <v>15000</v>
      </c>
      <c r="EO5" s="233">
        <v>7600</v>
      </c>
      <c r="EP5" s="233">
        <v>5500</v>
      </c>
      <c r="EQ5" s="233">
        <v>3000</v>
      </c>
      <c r="ER5" s="233">
        <v>2000</v>
      </c>
      <c r="ES5" s="233">
        <v>200</v>
      </c>
      <c r="EW5" s="234"/>
      <c r="EY5" s="233">
        <v>601000</v>
      </c>
      <c r="EZ5" s="233">
        <v>252200</v>
      </c>
      <c r="FA5" s="233">
        <v>200000</v>
      </c>
      <c r="FB5" s="233">
        <v>150000</v>
      </c>
      <c r="FC5" s="233">
        <v>100000</v>
      </c>
      <c r="FD5" s="233">
        <v>85000</v>
      </c>
      <c r="FE5" s="233">
        <v>53500</v>
      </c>
      <c r="FF5" s="233">
        <v>36000</v>
      </c>
      <c r="FG5" s="233">
        <v>20000</v>
      </c>
      <c r="FH5" s="233">
        <v>12000</v>
      </c>
      <c r="FI5" s="233">
        <v>8600</v>
      </c>
      <c r="FJ5" s="233">
        <v>4500</v>
      </c>
      <c r="FK5" s="233">
        <v>3000</v>
      </c>
      <c r="FL5" s="233">
        <v>1500</v>
      </c>
      <c r="FP5" s="234"/>
      <c r="FR5" s="233">
        <v>700000</v>
      </c>
      <c r="FS5" s="233">
        <v>300000</v>
      </c>
      <c r="FT5" s="233">
        <v>200000</v>
      </c>
      <c r="FU5" s="233">
        <v>150000</v>
      </c>
      <c r="FV5" s="233">
        <v>100000</v>
      </c>
      <c r="FW5" s="233">
        <v>70000</v>
      </c>
      <c r="FX5" s="233">
        <v>60000</v>
      </c>
      <c r="FY5" s="233">
        <v>40000</v>
      </c>
      <c r="FZ5" s="233">
        <v>25000</v>
      </c>
      <c r="GA5" s="233">
        <v>15000</v>
      </c>
      <c r="GB5" s="233">
        <v>10000</v>
      </c>
      <c r="GC5" s="233">
        <v>4700</v>
      </c>
      <c r="GD5" s="233">
        <v>3000</v>
      </c>
      <c r="GE5" s="233">
        <v>1000</v>
      </c>
      <c r="GI5" s="234"/>
      <c r="GK5" s="233">
        <v>700000</v>
      </c>
      <c r="GL5" s="233">
        <v>300000</v>
      </c>
      <c r="GM5" s="233">
        <v>215900</v>
      </c>
      <c r="GN5" s="233">
        <v>169500</v>
      </c>
      <c r="GO5" s="233">
        <v>120000</v>
      </c>
      <c r="GP5" s="233">
        <v>89000</v>
      </c>
      <c r="GQ5" s="233">
        <v>66600</v>
      </c>
      <c r="GR5" s="233">
        <v>50000</v>
      </c>
      <c r="GS5" s="233">
        <v>26000</v>
      </c>
      <c r="GT5" s="233">
        <v>18000</v>
      </c>
      <c r="GU5" s="233">
        <v>10000</v>
      </c>
      <c r="GV5" s="233">
        <v>7000</v>
      </c>
      <c r="GW5" s="233">
        <v>8000</v>
      </c>
      <c r="GX5" s="233">
        <v>2200</v>
      </c>
      <c r="HB5" s="234"/>
      <c r="HD5" s="233">
        <v>400000</v>
      </c>
      <c r="HE5" s="233">
        <v>215000</v>
      </c>
      <c r="HF5" s="233">
        <v>170000</v>
      </c>
      <c r="HG5" s="233">
        <v>152000</v>
      </c>
      <c r="HH5" s="233">
        <v>145400</v>
      </c>
      <c r="HI5" s="233">
        <v>125000</v>
      </c>
      <c r="HJ5" s="233">
        <v>100000</v>
      </c>
      <c r="HK5" s="233">
        <v>60800</v>
      </c>
      <c r="HL5" s="233">
        <v>50000</v>
      </c>
      <c r="HM5" s="233">
        <v>42000</v>
      </c>
      <c r="HN5" s="233">
        <v>36300</v>
      </c>
      <c r="HO5" s="233">
        <v>30000</v>
      </c>
      <c r="HP5" s="233">
        <v>25000</v>
      </c>
      <c r="HQ5" s="233">
        <v>10000</v>
      </c>
      <c r="HU5" s="234"/>
      <c r="HW5" s="233">
        <v>437600</v>
      </c>
      <c r="HX5" s="233">
        <v>199000</v>
      </c>
      <c r="HY5" s="233">
        <v>150000</v>
      </c>
      <c r="HZ5" s="233">
        <v>150000</v>
      </c>
      <c r="IA5" s="233">
        <v>130000</v>
      </c>
      <c r="IB5" s="233">
        <v>108000</v>
      </c>
      <c r="IC5" s="233">
        <v>90000</v>
      </c>
      <c r="ID5" s="233">
        <v>61000</v>
      </c>
      <c r="IE5" s="233">
        <v>40000</v>
      </c>
      <c r="IF5" s="233">
        <v>35000</v>
      </c>
      <c r="IG5" s="233">
        <v>30000</v>
      </c>
      <c r="IH5" s="233">
        <v>20000</v>
      </c>
      <c r="II5" s="233">
        <v>14300</v>
      </c>
      <c r="IJ5" s="233">
        <v>10000</v>
      </c>
      <c r="IN5" s="234"/>
      <c r="IO5" s="18"/>
      <c r="IP5" s="18"/>
      <c r="IQ5" s="18"/>
      <c r="IR5" s="18"/>
      <c r="IS5" s="18"/>
      <c r="IT5" s="18"/>
      <c r="IU5" s="18"/>
      <c r="IV5" s="18"/>
    </row>
    <row r="6" spans="1:256" s="233" customFormat="1" ht="16.5" customHeight="1" hidden="1">
      <c r="A6" s="232">
        <v>5</v>
      </c>
      <c r="C6" s="233">
        <v>950500</v>
      </c>
      <c r="D6" s="233">
        <v>300000</v>
      </c>
      <c r="E6" s="233">
        <v>175000</v>
      </c>
      <c r="F6" s="233">
        <v>139100</v>
      </c>
      <c r="G6" s="233">
        <v>140000</v>
      </c>
      <c r="H6" s="233">
        <v>126800</v>
      </c>
      <c r="I6" s="233">
        <v>110000</v>
      </c>
      <c r="J6" s="233">
        <v>100000</v>
      </c>
      <c r="K6" s="233">
        <v>85200</v>
      </c>
      <c r="L6" s="233">
        <v>72000</v>
      </c>
      <c r="M6" s="233">
        <v>60000</v>
      </c>
      <c r="N6" s="233">
        <v>50000</v>
      </c>
      <c r="O6" s="233">
        <v>50000</v>
      </c>
      <c r="P6" s="233">
        <v>32000</v>
      </c>
      <c r="Q6" s="233">
        <v>30000</v>
      </c>
      <c r="R6" s="233">
        <v>26700</v>
      </c>
      <c r="S6" s="233">
        <v>10000</v>
      </c>
      <c r="T6" s="234">
        <v>25000</v>
      </c>
      <c r="V6" s="233">
        <v>1400000</v>
      </c>
      <c r="W6" s="233">
        <v>600000</v>
      </c>
      <c r="X6" s="233">
        <v>320000</v>
      </c>
      <c r="Y6" s="233">
        <v>250000</v>
      </c>
      <c r="Z6" s="233">
        <v>200000</v>
      </c>
      <c r="AA6" s="233">
        <v>170000</v>
      </c>
      <c r="AB6" s="233">
        <v>123400</v>
      </c>
      <c r="AC6" s="233">
        <v>100000</v>
      </c>
      <c r="AD6" s="233">
        <v>80000</v>
      </c>
      <c r="AE6" s="233">
        <v>65000</v>
      </c>
      <c r="AF6" s="233">
        <v>49000</v>
      </c>
      <c r="AG6" s="233">
        <v>30000</v>
      </c>
      <c r="AH6" s="233">
        <v>27000</v>
      </c>
      <c r="AI6" s="233">
        <v>15000</v>
      </c>
      <c r="AJ6" s="233">
        <v>15000</v>
      </c>
      <c r="AK6" s="233">
        <v>15000</v>
      </c>
      <c r="AL6" s="233">
        <v>15000</v>
      </c>
      <c r="AM6" s="234">
        <v>6500</v>
      </c>
      <c r="AO6" s="233">
        <v>1405000</v>
      </c>
      <c r="AP6" s="233">
        <v>611100</v>
      </c>
      <c r="AQ6" s="233">
        <v>350000</v>
      </c>
      <c r="AR6" s="233">
        <v>278500</v>
      </c>
      <c r="AS6" s="233">
        <v>243400</v>
      </c>
      <c r="AT6" s="233">
        <v>181000</v>
      </c>
      <c r="AU6" s="233">
        <v>140000</v>
      </c>
      <c r="AV6" s="233">
        <v>110000</v>
      </c>
      <c r="AW6" s="233">
        <v>90000</v>
      </c>
      <c r="AX6" s="233">
        <v>60000</v>
      </c>
      <c r="AY6" s="233">
        <v>47000</v>
      </c>
      <c r="AZ6" s="233">
        <v>35000</v>
      </c>
      <c r="BA6" s="233">
        <v>30000</v>
      </c>
      <c r="BB6" s="233">
        <v>25500</v>
      </c>
      <c r="BC6" s="233">
        <v>22000</v>
      </c>
      <c r="BD6" s="233">
        <v>12300</v>
      </c>
      <c r="BE6" s="233">
        <v>10000</v>
      </c>
      <c r="BF6" s="234">
        <v>10000</v>
      </c>
      <c r="BH6" s="233">
        <v>1550000</v>
      </c>
      <c r="BI6" s="233">
        <v>600000</v>
      </c>
      <c r="BJ6" s="233">
        <v>346000</v>
      </c>
      <c r="BK6" s="233">
        <v>299500</v>
      </c>
      <c r="BL6" s="233">
        <v>225000</v>
      </c>
      <c r="BM6" s="233">
        <v>177700</v>
      </c>
      <c r="BN6" s="233">
        <v>150000</v>
      </c>
      <c r="BO6" s="233">
        <v>110000</v>
      </c>
      <c r="BP6" s="233">
        <v>90000</v>
      </c>
      <c r="BQ6" s="233">
        <v>60000</v>
      </c>
      <c r="BR6" s="233">
        <v>50000</v>
      </c>
      <c r="BS6" s="233">
        <v>40000</v>
      </c>
      <c r="BT6" s="233">
        <v>32000</v>
      </c>
      <c r="BU6" s="233">
        <v>20000</v>
      </c>
      <c r="BV6" s="233">
        <v>15000</v>
      </c>
      <c r="BW6" s="233">
        <v>16000</v>
      </c>
      <c r="BX6" s="233">
        <v>12000</v>
      </c>
      <c r="BY6" s="234">
        <v>11100</v>
      </c>
      <c r="CA6" s="233">
        <v>1400000</v>
      </c>
      <c r="CB6" s="233">
        <v>500000</v>
      </c>
      <c r="CC6" s="233">
        <v>351000</v>
      </c>
      <c r="CD6" s="233">
        <v>245000</v>
      </c>
      <c r="CE6" s="233">
        <v>200000</v>
      </c>
      <c r="CF6" s="233">
        <v>168300</v>
      </c>
      <c r="CG6" s="233">
        <v>125000</v>
      </c>
      <c r="CH6" s="233">
        <v>100000</v>
      </c>
      <c r="CI6" s="233">
        <v>79000</v>
      </c>
      <c r="CJ6" s="233">
        <v>60000</v>
      </c>
      <c r="CK6" s="233">
        <v>50000</v>
      </c>
      <c r="CL6" s="233">
        <v>35000</v>
      </c>
      <c r="CM6" s="233">
        <v>30000</v>
      </c>
      <c r="CN6" s="233">
        <v>20000</v>
      </c>
      <c r="CO6" s="233">
        <v>15000</v>
      </c>
      <c r="CP6" s="233">
        <v>8500</v>
      </c>
      <c r="CQ6" s="233">
        <v>7500</v>
      </c>
      <c r="CR6" s="234">
        <v>10000</v>
      </c>
      <c r="CT6" s="233">
        <v>712300</v>
      </c>
      <c r="CU6" s="233">
        <v>220000</v>
      </c>
      <c r="CV6" s="233">
        <v>145000</v>
      </c>
      <c r="CW6" s="233">
        <v>82000</v>
      </c>
      <c r="CX6" s="233">
        <v>70000</v>
      </c>
      <c r="CY6" s="233">
        <v>70000</v>
      </c>
      <c r="CZ6" s="233">
        <v>66000</v>
      </c>
      <c r="DA6" s="233">
        <v>27000</v>
      </c>
      <c r="DB6" s="233">
        <v>45000</v>
      </c>
      <c r="DC6" s="233">
        <v>15000</v>
      </c>
      <c r="DD6" s="233">
        <v>10000</v>
      </c>
      <c r="DE6" s="233">
        <v>11400</v>
      </c>
      <c r="DF6" s="233">
        <v>500</v>
      </c>
      <c r="DG6" s="233">
        <v>15000</v>
      </c>
      <c r="DH6" s="233">
        <v>10000</v>
      </c>
      <c r="DI6" s="233">
        <v>4300</v>
      </c>
      <c r="DJ6" s="233">
        <v>0</v>
      </c>
      <c r="DK6" s="234">
        <v>3300</v>
      </c>
      <c r="DL6" s="235"/>
      <c r="DM6" s="233">
        <v>1555500</v>
      </c>
      <c r="DN6" s="233">
        <v>350000</v>
      </c>
      <c r="DO6" s="233">
        <v>250000</v>
      </c>
      <c r="DP6" s="233">
        <v>230000</v>
      </c>
      <c r="DQ6" s="233">
        <v>211200</v>
      </c>
      <c r="DR6" s="233">
        <v>220000</v>
      </c>
      <c r="DS6" s="233">
        <v>200000</v>
      </c>
      <c r="DT6" s="233">
        <v>180000</v>
      </c>
      <c r="DU6" s="233">
        <v>160000</v>
      </c>
      <c r="DV6" s="233">
        <v>146700</v>
      </c>
      <c r="DW6" s="233">
        <v>150000</v>
      </c>
      <c r="DX6" s="233">
        <v>130000</v>
      </c>
      <c r="DY6" s="233">
        <v>120000</v>
      </c>
      <c r="DZ6" s="233">
        <v>90000</v>
      </c>
      <c r="EA6" s="233">
        <v>90000</v>
      </c>
      <c r="EB6" s="233">
        <v>80000</v>
      </c>
      <c r="EC6" s="233">
        <v>88800</v>
      </c>
      <c r="ED6" s="234">
        <v>65000</v>
      </c>
      <c r="EF6" s="233">
        <v>1700000</v>
      </c>
      <c r="EG6" s="233">
        <v>420100</v>
      </c>
      <c r="EH6" s="233">
        <v>221000</v>
      </c>
      <c r="EI6" s="233">
        <v>160000</v>
      </c>
      <c r="EJ6" s="233">
        <v>150000</v>
      </c>
      <c r="EK6" s="233">
        <v>120000</v>
      </c>
      <c r="EL6" s="233">
        <v>95700</v>
      </c>
      <c r="EM6" s="233">
        <v>75000</v>
      </c>
      <c r="EN6" s="233">
        <v>64000</v>
      </c>
      <c r="EO6" s="233">
        <v>50000</v>
      </c>
      <c r="EP6" s="233">
        <v>41400</v>
      </c>
      <c r="EQ6" s="233">
        <v>31000</v>
      </c>
      <c r="ER6" s="233">
        <v>25000</v>
      </c>
      <c r="ES6" s="233">
        <v>15500</v>
      </c>
      <c r="ET6" s="233">
        <v>15000</v>
      </c>
      <c r="EU6" s="233">
        <v>13500</v>
      </c>
      <c r="EV6" s="233">
        <v>6000</v>
      </c>
      <c r="EW6" s="234">
        <v>9000</v>
      </c>
      <c r="EY6" s="233">
        <v>1405000</v>
      </c>
      <c r="EZ6" s="233">
        <v>500000</v>
      </c>
      <c r="FA6" s="233">
        <v>300000</v>
      </c>
      <c r="FB6" s="233">
        <v>248000</v>
      </c>
      <c r="FC6" s="233">
        <v>180900</v>
      </c>
      <c r="FD6" s="233">
        <v>145000</v>
      </c>
      <c r="FE6" s="233">
        <v>120000</v>
      </c>
      <c r="FF6" s="233">
        <v>110000</v>
      </c>
      <c r="FG6" s="233">
        <v>80000</v>
      </c>
      <c r="FH6" s="233">
        <v>60000</v>
      </c>
      <c r="FI6" s="233">
        <v>47000</v>
      </c>
      <c r="FJ6" s="233">
        <v>35000</v>
      </c>
      <c r="FK6" s="233">
        <v>30000</v>
      </c>
      <c r="FL6" s="233">
        <v>20000</v>
      </c>
      <c r="FM6" s="233">
        <v>15000</v>
      </c>
      <c r="FN6" s="233">
        <v>12300</v>
      </c>
      <c r="FO6" s="233">
        <v>10000</v>
      </c>
      <c r="FP6" s="234">
        <v>7000</v>
      </c>
      <c r="FR6" s="233">
        <v>1380000</v>
      </c>
      <c r="FS6" s="233">
        <v>500000</v>
      </c>
      <c r="FT6" s="233">
        <v>346000</v>
      </c>
      <c r="FU6" s="233">
        <v>230000</v>
      </c>
      <c r="FV6" s="233">
        <v>195000</v>
      </c>
      <c r="FW6" s="233">
        <v>170000</v>
      </c>
      <c r="FX6" s="233">
        <v>130000</v>
      </c>
      <c r="FY6" s="233">
        <v>100000</v>
      </c>
      <c r="FZ6" s="233">
        <v>80000</v>
      </c>
      <c r="GA6" s="233">
        <v>55000</v>
      </c>
      <c r="GB6" s="233">
        <v>50000</v>
      </c>
      <c r="GC6" s="233">
        <v>40000</v>
      </c>
      <c r="GD6" s="233">
        <v>32000</v>
      </c>
      <c r="GE6" s="233">
        <v>20000</v>
      </c>
      <c r="GF6" s="233">
        <v>15000</v>
      </c>
      <c r="GG6" s="233">
        <v>14200</v>
      </c>
      <c r="GH6" s="233">
        <v>10000</v>
      </c>
      <c r="GI6" s="234">
        <v>10000</v>
      </c>
      <c r="GK6" s="233">
        <v>1687300</v>
      </c>
      <c r="GL6" s="233">
        <v>578100</v>
      </c>
      <c r="GM6" s="233">
        <v>350000</v>
      </c>
      <c r="GN6" s="233">
        <v>247000</v>
      </c>
      <c r="GO6" s="233">
        <v>211100</v>
      </c>
      <c r="GP6" s="233">
        <v>175000</v>
      </c>
      <c r="GQ6" s="233">
        <v>142000</v>
      </c>
      <c r="GR6" s="233">
        <v>120000</v>
      </c>
      <c r="GS6" s="233">
        <v>100000</v>
      </c>
      <c r="GT6" s="233">
        <v>70000</v>
      </c>
      <c r="GU6" s="233">
        <v>70000</v>
      </c>
      <c r="GV6" s="233">
        <v>53000</v>
      </c>
      <c r="GW6" s="233">
        <v>45000</v>
      </c>
      <c r="GX6" s="233">
        <v>35000</v>
      </c>
      <c r="GY6" s="233">
        <v>25000</v>
      </c>
      <c r="GZ6" s="233">
        <v>25000</v>
      </c>
      <c r="HA6" s="233">
        <v>18000</v>
      </c>
      <c r="HB6" s="234">
        <v>20000</v>
      </c>
      <c r="HD6" s="233">
        <v>1100000</v>
      </c>
      <c r="HE6" s="233">
        <v>444400</v>
      </c>
      <c r="HF6" s="233">
        <v>310000</v>
      </c>
      <c r="HG6" s="233">
        <v>275000</v>
      </c>
      <c r="HH6" s="233">
        <v>244000</v>
      </c>
      <c r="HI6" s="233">
        <v>228200</v>
      </c>
      <c r="HJ6" s="233">
        <v>210000</v>
      </c>
      <c r="HK6" s="233">
        <v>200000</v>
      </c>
      <c r="HL6" s="233">
        <v>163000</v>
      </c>
      <c r="HM6" s="233">
        <v>150000</v>
      </c>
      <c r="HN6" s="233">
        <v>130000</v>
      </c>
      <c r="HO6" s="233">
        <v>120000</v>
      </c>
      <c r="HP6" s="233">
        <v>100000</v>
      </c>
      <c r="HQ6" s="233">
        <v>82000</v>
      </c>
      <c r="HR6" s="233">
        <v>80000</v>
      </c>
      <c r="HS6" s="233">
        <v>80000</v>
      </c>
      <c r="HT6" s="233">
        <v>44600</v>
      </c>
      <c r="HU6" s="234">
        <v>40500</v>
      </c>
      <c r="HW6" s="233">
        <v>1000000</v>
      </c>
      <c r="HX6" s="233">
        <v>399800</v>
      </c>
      <c r="HY6" s="233">
        <v>283500</v>
      </c>
      <c r="HZ6" s="233">
        <v>276000</v>
      </c>
      <c r="IA6" s="233">
        <v>240000</v>
      </c>
      <c r="IB6" s="233">
        <v>225000</v>
      </c>
      <c r="IC6" s="233">
        <v>220000</v>
      </c>
      <c r="ID6" s="233">
        <v>200000</v>
      </c>
      <c r="IE6" s="233">
        <v>170300</v>
      </c>
      <c r="IF6" s="233">
        <v>160000</v>
      </c>
      <c r="IG6" s="233">
        <v>130000</v>
      </c>
      <c r="IH6" s="233">
        <v>113500</v>
      </c>
      <c r="II6" s="233">
        <v>100000</v>
      </c>
      <c r="IJ6" s="233">
        <v>76800</v>
      </c>
      <c r="IK6" s="233">
        <v>70000</v>
      </c>
      <c r="IL6" s="233">
        <v>60000</v>
      </c>
      <c r="IM6" s="233">
        <v>45000</v>
      </c>
      <c r="IN6" s="234">
        <v>31000</v>
      </c>
      <c r="IO6" s="18"/>
      <c r="IP6" s="18"/>
      <c r="IQ6" s="18"/>
      <c r="IR6" s="18"/>
      <c r="IS6" s="18"/>
      <c r="IT6" s="18"/>
      <c r="IU6" s="18"/>
      <c r="IV6" s="18"/>
    </row>
    <row r="7" spans="1:256" s="233" customFormat="1" ht="16.5" customHeight="1" hidden="1">
      <c r="A7" s="232">
        <v>6</v>
      </c>
      <c r="C7" s="233">
        <v>0</v>
      </c>
      <c r="D7" s="233">
        <v>650000</v>
      </c>
      <c r="E7" s="233">
        <v>350000</v>
      </c>
      <c r="F7" s="233">
        <v>250000</v>
      </c>
      <c r="G7" s="233">
        <v>200000</v>
      </c>
      <c r="H7" s="233">
        <v>200000</v>
      </c>
      <c r="I7" s="233">
        <v>190000</v>
      </c>
      <c r="J7" s="233">
        <v>200000</v>
      </c>
      <c r="K7" s="233">
        <v>177700</v>
      </c>
      <c r="L7" s="233">
        <v>100000</v>
      </c>
      <c r="M7" s="233">
        <v>140000</v>
      </c>
      <c r="N7" s="233">
        <v>126800</v>
      </c>
      <c r="O7" s="233">
        <v>123000</v>
      </c>
      <c r="P7" s="233">
        <v>100000</v>
      </c>
      <c r="Q7" s="233">
        <v>80000</v>
      </c>
      <c r="R7" s="233">
        <v>76200</v>
      </c>
      <c r="S7" s="233">
        <v>75000</v>
      </c>
      <c r="T7" s="234">
        <v>50000</v>
      </c>
      <c r="V7" s="233">
        <v>0</v>
      </c>
      <c r="W7" s="233">
        <v>1100000</v>
      </c>
      <c r="X7" s="233">
        <v>700000</v>
      </c>
      <c r="Y7" s="233">
        <v>420000</v>
      </c>
      <c r="Z7" s="233">
        <v>368000</v>
      </c>
      <c r="AA7" s="233">
        <v>300000</v>
      </c>
      <c r="AB7" s="233">
        <v>251100</v>
      </c>
      <c r="AC7" s="233">
        <v>200000</v>
      </c>
      <c r="AD7" s="233">
        <v>160000</v>
      </c>
      <c r="AE7" s="233">
        <v>140000</v>
      </c>
      <c r="AF7" s="233">
        <v>100000</v>
      </c>
      <c r="AG7" s="233">
        <v>90000</v>
      </c>
      <c r="AH7" s="233">
        <v>65000</v>
      </c>
      <c r="AI7" s="233">
        <v>50000</v>
      </c>
      <c r="AJ7" s="233">
        <v>38800</v>
      </c>
      <c r="AK7" s="233">
        <v>35000</v>
      </c>
      <c r="AL7" s="233">
        <v>26000</v>
      </c>
      <c r="AM7" s="234">
        <v>5000</v>
      </c>
      <c r="AO7" s="233">
        <v>0</v>
      </c>
      <c r="AP7" s="233">
        <v>1400000</v>
      </c>
      <c r="AQ7" s="233">
        <v>700500</v>
      </c>
      <c r="AR7" s="233">
        <v>500000</v>
      </c>
      <c r="AS7" s="233">
        <v>450000</v>
      </c>
      <c r="AT7" s="233">
        <v>350000</v>
      </c>
      <c r="AU7" s="233">
        <v>285000</v>
      </c>
      <c r="AV7" s="233">
        <v>228000</v>
      </c>
      <c r="AW7" s="233">
        <v>180000</v>
      </c>
      <c r="AX7" s="233">
        <v>155300</v>
      </c>
      <c r="AY7" s="233">
        <v>115000</v>
      </c>
      <c r="AZ7" s="233">
        <v>100000</v>
      </c>
      <c r="BA7" s="233">
        <v>90000</v>
      </c>
      <c r="BB7" s="233">
        <v>65000</v>
      </c>
      <c r="BC7" s="233">
        <v>50000</v>
      </c>
      <c r="BD7" s="233">
        <v>45000</v>
      </c>
      <c r="BE7" s="233">
        <v>30000</v>
      </c>
      <c r="BF7" s="234">
        <v>2500</v>
      </c>
      <c r="BH7" s="233">
        <v>0</v>
      </c>
      <c r="BI7" s="233">
        <v>1258900</v>
      </c>
      <c r="BJ7" s="233">
        <v>713200</v>
      </c>
      <c r="BK7" s="233">
        <v>500000</v>
      </c>
      <c r="BL7" s="233">
        <v>422000</v>
      </c>
      <c r="BM7" s="233">
        <v>350000</v>
      </c>
      <c r="BN7" s="233">
        <v>286900</v>
      </c>
      <c r="BO7" s="233">
        <v>230000</v>
      </c>
      <c r="BP7" s="233">
        <v>177700</v>
      </c>
      <c r="BQ7" s="233">
        <v>160000</v>
      </c>
      <c r="BR7" s="233">
        <v>137000</v>
      </c>
      <c r="BS7" s="233">
        <v>85000</v>
      </c>
      <c r="BT7" s="233">
        <v>77700</v>
      </c>
      <c r="BU7" s="233">
        <v>51200</v>
      </c>
      <c r="BV7" s="233">
        <v>51000</v>
      </c>
      <c r="BW7" s="233">
        <v>40000</v>
      </c>
      <c r="BX7" s="233">
        <v>35000</v>
      </c>
      <c r="BY7" s="234">
        <v>25000</v>
      </c>
      <c r="CA7" s="233">
        <v>0</v>
      </c>
      <c r="CB7" s="233">
        <v>1123900</v>
      </c>
      <c r="CC7" s="233">
        <v>700000</v>
      </c>
      <c r="CD7" s="233">
        <v>440000</v>
      </c>
      <c r="CE7" s="233">
        <v>365000</v>
      </c>
      <c r="CF7" s="233">
        <v>310000</v>
      </c>
      <c r="CG7" s="233">
        <v>250000</v>
      </c>
      <c r="CH7" s="233">
        <v>198000</v>
      </c>
      <c r="CI7" s="233">
        <v>160000</v>
      </c>
      <c r="CJ7" s="233">
        <v>127800</v>
      </c>
      <c r="CK7" s="233">
        <v>100000</v>
      </c>
      <c r="CL7" s="233">
        <v>80000</v>
      </c>
      <c r="CM7" s="233">
        <v>65000</v>
      </c>
      <c r="CN7" s="233">
        <v>60000</v>
      </c>
      <c r="CO7" s="233">
        <v>45000</v>
      </c>
      <c r="CP7" s="233">
        <v>47000</v>
      </c>
      <c r="CQ7" s="233">
        <v>30000</v>
      </c>
      <c r="CR7" s="234">
        <v>21100</v>
      </c>
      <c r="CT7" s="233">
        <v>0</v>
      </c>
      <c r="CU7" s="233">
        <v>634500</v>
      </c>
      <c r="CV7" s="233">
        <v>300000</v>
      </c>
      <c r="CW7" s="233">
        <v>230000</v>
      </c>
      <c r="CX7" s="233">
        <v>160000</v>
      </c>
      <c r="CY7" s="233">
        <v>152000</v>
      </c>
      <c r="CZ7" s="233">
        <v>120000</v>
      </c>
      <c r="DA7" s="233">
        <v>126000</v>
      </c>
      <c r="DB7" s="233">
        <v>100000</v>
      </c>
      <c r="DC7" s="233">
        <v>90000</v>
      </c>
      <c r="DD7" s="233">
        <v>60000</v>
      </c>
      <c r="DE7" s="233">
        <v>0</v>
      </c>
      <c r="DF7" s="233">
        <v>30000</v>
      </c>
      <c r="DG7" s="233">
        <v>45000</v>
      </c>
      <c r="DH7" s="233">
        <v>10000</v>
      </c>
      <c r="DI7" s="233">
        <v>10500</v>
      </c>
      <c r="DJ7" s="233">
        <v>25000</v>
      </c>
      <c r="DK7" s="234">
        <v>15100</v>
      </c>
      <c r="DL7" s="235"/>
      <c r="DM7" s="233">
        <v>0</v>
      </c>
      <c r="DN7" s="233">
        <v>1000000</v>
      </c>
      <c r="DO7" s="233">
        <v>551000</v>
      </c>
      <c r="DP7" s="233">
        <v>480000</v>
      </c>
      <c r="DQ7" s="233">
        <v>438000</v>
      </c>
      <c r="DR7" s="233">
        <v>400000</v>
      </c>
      <c r="DS7" s="233">
        <v>364000</v>
      </c>
      <c r="DT7" s="233">
        <v>345600</v>
      </c>
      <c r="DU7" s="233">
        <v>350000</v>
      </c>
      <c r="DV7" s="233">
        <v>297000</v>
      </c>
      <c r="DW7" s="233">
        <v>280000</v>
      </c>
      <c r="DX7" s="233">
        <v>270000</v>
      </c>
      <c r="DY7" s="233">
        <v>263200</v>
      </c>
      <c r="DZ7" s="233">
        <v>240000</v>
      </c>
      <c r="EA7" s="233">
        <v>230000</v>
      </c>
      <c r="EB7" s="233">
        <v>201200</v>
      </c>
      <c r="EC7" s="233">
        <v>190000</v>
      </c>
      <c r="ED7" s="234">
        <v>200000</v>
      </c>
      <c r="EF7" s="233">
        <v>0</v>
      </c>
      <c r="EG7" s="233">
        <v>900000</v>
      </c>
      <c r="EH7" s="233">
        <v>500000</v>
      </c>
      <c r="EI7" s="233">
        <v>310000</v>
      </c>
      <c r="EJ7" s="233">
        <v>279000</v>
      </c>
      <c r="EK7" s="233">
        <v>237300</v>
      </c>
      <c r="EL7" s="233">
        <v>180000</v>
      </c>
      <c r="EM7" s="233">
        <v>160000</v>
      </c>
      <c r="EN7" s="233">
        <v>125000</v>
      </c>
      <c r="EO7" s="233">
        <v>101000</v>
      </c>
      <c r="EP7" s="233">
        <v>90000</v>
      </c>
      <c r="EQ7" s="233">
        <v>85000</v>
      </c>
      <c r="ER7" s="233">
        <v>65000</v>
      </c>
      <c r="ES7" s="233">
        <v>40000</v>
      </c>
      <c r="ET7" s="233">
        <v>50000</v>
      </c>
      <c r="EU7" s="233">
        <v>45000</v>
      </c>
      <c r="EV7" s="233">
        <v>35000</v>
      </c>
      <c r="EW7" s="234">
        <v>7000</v>
      </c>
      <c r="EY7" s="233">
        <v>0</v>
      </c>
      <c r="EZ7" s="233">
        <v>1200000</v>
      </c>
      <c r="FA7" s="233">
        <v>500000</v>
      </c>
      <c r="FB7" s="233">
        <v>400000</v>
      </c>
      <c r="FC7" s="233">
        <v>311000</v>
      </c>
      <c r="FD7" s="233">
        <v>280000</v>
      </c>
      <c r="FE7" s="233">
        <v>250000</v>
      </c>
      <c r="FF7" s="233">
        <v>200000</v>
      </c>
      <c r="FG7" s="233">
        <v>145000</v>
      </c>
      <c r="FH7" s="233">
        <v>140000</v>
      </c>
      <c r="FI7" s="233">
        <v>100100</v>
      </c>
      <c r="FJ7" s="233">
        <v>80000</v>
      </c>
      <c r="FK7" s="233">
        <v>70000</v>
      </c>
      <c r="FL7" s="233">
        <v>50300</v>
      </c>
      <c r="FM7" s="233">
        <v>50000</v>
      </c>
      <c r="FN7" s="233">
        <v>40000</v>
      </c>
      <c r="FO7" s="233">
        <v>30000</v>
      </c>
      <c r="FP7" s="234">
        <v>15000</v>
      </c>
      <c r="FR7" s="233">
        <v>0</v>
      </c>
      <c r="FS7" s="233">
        <v>1190000</v>
      </c>
      <c r="FT7" s="233">
        <v>600000</v>
      </c>
      <c r="FU7" s="233">
        <v>420000</v>
      </c>
      <c r="FV7" s="233">
        <v>340000</v>
      </c>
      <c r="FW7" s="233">
        <v>280000</v>
      </c>
      <c r="FX7" s="233">
        <v>240500</v>
      </c>
      <c r="FY7" s="233">
        <v>190000</v>
      </c>
      <c r="FZ7" s="233">
        <v>150000</v>
      </c>
      <c r="GA7" s="233">
        <v>120000</v>
      </c>
      <c r="GB7" s="233">
        <v>95000</v>
      </c>
      <c r="GC7" s="233">
        <v>85000</v>
      </c>
      <c r="GD7" s="233">
        <v>77700</v>
      </c>
      <c r="GE7" s="233">
        <v>50000</v>
      </c>
      <c r="GF7" s="233">
        <v>50000</v>
      </c>
      <c r="GG7" s="233">
        <v>40000</v>
      </c>
      <c r="GH7" s="233">
        <v>30000</v>
      </c>
      <c r="GI7" s="234">
        <v>25000</v>
      </c>
      <c r="GK7" s="233">
        <v>0</v>
      </c>
      <c r="GL7" s="233">
        <v>1331100</v>
      </c>
      <c r="GM7" s="233">
        <v>613000</v>
      </c>
      <c r="GN7" s="233">
        <v>490000</v>
      </c>
      <c r="GO7" s="233">
        <v>375000</v>
      </c>
      <c r="GP7" s="233">
        <v>320000</v>
      </c>
      <c r="GQ7" s="233">
        <v>300000</v>
      </c>
      <c r="GR7" s="233">
        <v>222200</v>
      </c>
      <c r="GS7" s="233">
        <v>177700</v>
      </c>
      <c r="GT7" s="233">
        <v>142000</v>
      </c>
      <c r="GU7" s="233">
        <v>125600</v>
      </c>
      <c r="GV7" s="233">
        <v>101000</v>
      </c>
      <c r="GW7" s="233">
        <v>100000</v>
      </c>
      <c r="GX7" s="233">
        <v>70000</v>
      </c>
      <c r="GY7" s="233">
        <v>66800</v>
      </c>
      <c r="GZ7" s="233">
        <v>47000</v>
      </c>
      <c r="HA7" s="233">
        <v>41000</v>
      </c>
      <c r="HB7" s="234">
        <v>40000</v>
      </c>
      <c r="HD7" s="233">
        <v>0</v>
      </c>
      <c r="HE7" s="233">
        <v>1000000</v>
      </c>
      <c r="HF7" s="233">
        <v>555500</v>
      </c>
      <c r="HG7" s="233">
        <v>460000</v>
      </c>
      <c r="HH7" s="233">
        <v>450000</v>
      </c>
      <c r="HI7" s="233">
        <v>400900</v>
      </c>
      <c r="HJ7" s="233">
        <v>400000</v>
      </c>
      <c r="HK7" s="233">
        <v>345600</v>
      </c>
      <c r="HL7" s="233">
        <v>255000</v>
      </c>
      <c r="HM7" s="233">
        <v>300000</v>
      </c>
      <c r="HN7" s="233">
        <v>265000</v>
      </c>
      <c r="HO7" s="233">
        <v>232000</v>
      </c>
      <c r="HP7" s="233">
        <v>210000</v>
      </c>
      <c r="HQ7" s="233">
        <v>174000</v>
      </c>
      <c r="HR7" s="233">
        <v>150100</v>
      </c>
      <c r="HS7" s="233">
        <v>140000</v>
      </c>
      <c r="HT7" s="233">
        <v>105000</v>
      </c>
      <c r="HU7" s="234">
        <v>100000</v>
      </c>
      <c r="HW7" s="233">
        <v>0</v>
      </c>
      <c r="HX7" s="233">
        <v>1000000</v>
      </c>
      <c r="HY7" s="233">
        <v>600000</v>
      </c>
      <c r="HZ7" s="233">
        <v>450000</v>
      </c>
      <c r="IA7" s="233">
        <v>451900</v>
      </c>
      <c r="IB7" s="233">
        <v>415600</v>
      </c>
      <c r="IC7" s="233">
        <v>399000</v>
      </c>
      <c r="ID7" s="233">
        <v>361700</v>
      </c>
      <c r="IE7" s="233">
        <v>321300</v>
      </c>
      <c r="IF7" s="233">
        <v>299000</v>
      </c>
      <c r="IG7" s="233">
        <v>254500</v>
      </c>
      <c r="IH7" s="233">
        <v>230000</v>
      </c>
      <c r="II7" s="233">
        <v>200000</v>
      </c>
      <c r="IJ7" s="233">
        <v>185000</v>
      </c>
      <c r="IK7" s="233">
        <v>150000</v>
      </c>
      <c r="IL7" s="233">
        <v>150000</v>
      </c>
      <c r="IM7" s="233">
        <v>143400</v>
      </c>
      <c r="IN7" s="234">
        <v>100000</v>
      </c>
      <c r="IO7" s="18"/>
      <c r="IP7" s="18"/>
      <c r="IQ7" s="18"/>
      <c r="IR7" s="18"/>
      <c r="IS7" s="18"/>
      <c r="IT7" s="18"/>
      <c r="IU7" s="18"/>
      <c r="IV7" s="18"/>
    </row>
    <row r="8" spans="1:256" s="233" customFormat="1" ht="16.5" customHeight="1" hidden="1">
      <c r="A8" s="232">
        <v>7</v>
      </c>
      <c r="D8" s="233">
        <v>2000000</v>
      </c>
      <c r="E8" s="233">
        <v>912200</v>
      </c>
      <c r="F8" s="233">
        <v>550000</v>
      </c>
      <c r="G8" s="233">
        <v>400000</v>
      </c>
      <c r="H8" s="233">
        <v>320400</v>
      </c>
      <c r="I8" s="233">
        <v>300000</v>
      </c>
      <c r="J8" s="233">
        <v>279900</v>
      </c>
      <c r="K8" s="233">
        <v>250000</v>
      </c>
      <c r="L8" s="233">
        <v>250000</v>
      </c>
      <c r="M8" s="233">
        <v>225700</v>
      </c>
      <c r="N8" s="233">
        <v>230000</v>
      </c>
      <c r="O8" s="233">
        <v>220000</v>
      </c>
      <c r="P8" s="233">
        <v>187300</v>
      </c>
      <c r="Q8" s="233">
        <v>170000</v>
      </c>
      <c r="R8" s="233">
        <v>140000</v>
      </c>
      <c r="S8" s="233">
        <v>119900</v>
      </c>
      <c r="T8" s="234">
        <v>83000</v>
      </c>
      <c r="W8" s="233">
        <v>2450000</v>
      </c>
      <c r="X8" s="233">
        <v>1600000</v>
      </c>
      <c r="Y8" s="233">
        <v>967800</v>
      </c>
      <c r="Z8" s="233">
        <v>650000</v>
      </c>
      <c r="AA8" s="233">
        <v>550000</v>
      </c>
      <c r="AB8" s="233">
        <v>450000</v>
      </c>
      <c r="AC8" s="233">
        <v>400000</v>
      </c>
      <c r="AD8" s="233">
        <v>300000</v>
      </c>
      <c r="AE8" s="233">
        <v>236000</v>
      </c>
      <c r="AF8" s="233">
        <v>190000</v>
      </c>
      <c r="AG8" s="233">
        <v>150000</v>
      </c>
      <c r="AH8" s="233">
        <v>130000</v>
      </c>
      <c r="AI8" s="233">
        <v>99000</v>
      </c>
      <c r="AJ8" s="233">
        <v>80000</v>
      </c>
      <c r="AK8" s="233">
        <v>70800</v>
      </c>
      <c r="AL8" s="233">
        <v>60000</v>
      </c>
      <c r="AM8" s="234">
        <v>40000</v>
      </c>
      <c r="AP8" s="233">
        <v>2301000</v>
      </c>
      <c r="AQ8" s="233">
        <v>1511200</v>
      </c>
      <c r="AR8" s="233">
        <v>999900</v>
      </c>
      <c r="AS8" s="233">
        <v>700000</v>
      </c>
      <c r="AT8" s="233">
        <v>519000</v>
      </c>
      <c r="AU8" s="233">
        <v>490000</v>
      </c>
      <c r="AV8" s="233">
        <v>426000</v>
      </c>
      <c r="AW8" s="233">
        <v>319900</v>
      </c>
      <c r="AX8" s="233">
        <v>285000</v>
      </c>
      <c r="AY8" s="233">
        <v>220000</v>
      </c>
      <c r="AZ8" s="233">
        <v>170000</v>
      </c>
      <c r="BA8" s="233">
        <v>150000</v>
      </c>
      <c r="BB8" s="233">
        <v>110000</v>
      </c>
      <c r="BC8" s="233">
        <v>90000</v>
      </c>
      <c r="BD8" s="233">
        <v>80000</v>
      </c>
      <c r="BE8" s="233">
        <v>60000</v>
      </c>
      <c r="BF8" s="234">
        <v>40000</v>
      </c>
      <c r="BI8" s="233">
        <v>2500000</v>
      </c>
      <c r="BJ8" s="233">
        <v>1500000</v>
      </c>
      <c r="BK8" s="233">
        <v>1000000</v>
      </c>
      <c r="BL8" s="233">
        <v>700000</v>
      </c>
      <c r="BM8" s="233">
        <v>550000</v>
      </c>
      <c r="BN8" s="233">
        <v>450000</v>
      </c>
      <c r="BO8" s="233">
        <v>420100</v>
      </c>
      <c r="BP8" s="233">
        <v>320000</v>
      </c>
      <c r="BQ8" s="233">
        <v>270000</v>
      </c>
      <c r="BR8" s="233">
        <v>210000</v>
      </c>
      <c r="BS8" s="233">
        <v>175000</v>
      </c>
      <c r="BT8" s="233">
        <v>143300</v>
      </c>
      <c r="BU8" s="233">
        <v>125000</v>
      </c>
      <c r="BV8" s="233">
        <v>90000</v>
      </c>
      <c r="BW8" s="233">
        <v>65000</v>
      </c>
      <c r="BX8" s="233">
        <v>70000</v>
      </c>
      <c r="BY8" s="234">
        <v>30000</v>
      </c>
      <c r="CB8" s="233">
        <v>3000000</v>
      </c>
      <c r="CC8" s="233">
        <v>1544600</v>
      </c>
      <c r="CD8" s="233">
        <v>901000</v>
      </c>
      <c r="CE8" s="233">
        <v>650000</v>
      </c>
      <c r="CF8" s="233">
        <v>522200</v>
      </c>
      <c r="CG8" s="233">
        <v>450000</v>
      </c>
      <c r="CH8" s="233">
        <v>360000</v>
      </c>
      <c r="CI8" s="233">
        <v>295200</v>
      </c>
      <c r="CJ8" s="233">
        <v>260000</v>
      </c>
      <c r="CK8" s="233">
        <v>200000</v>
      </c>
      <c r="CL8" s="233">
        <v>160000</v>
      </c>
      <c r="CM8" s="233">
        <v>133300</v>
      </c>
      <c r="CN8" s="233">
        <v>97800</v>
      </c>
      <c r="CO8" s="233">
        <v>76000</v>
      </c>
      <c r="CP8" s="233">
        <v>78000</v>
      </c>
      <c r="CQ8" s="233">
        <v>50000</v>
      </c>
      <c r="CR8" s="234">
        <v>30000</v>
      </c>
      <c r="CU8" s="233">
        <v>1665600</v>
      </c>
      <c r="CV8" s="233">
        <v>793100</v>
      </c>
      <c r="CW8" s="233">
        <v>500000</v>
      </c>
      <c r="CX8" s="233">
        <v>355500</v>
      </c>
      <c r="CY8" s="233">
        <v>285000</v>
      </c>
      <c r="CZ8" s="233">
        <v>200000</v>
      </c>
      <c r="DA8" s="233">
        <v>180000</v>
      </c>
      <c r="DB8" s="233">
        <v>165000</v>
      </c>
      <c r="DC8" s="233">
        <v>150000</v>
      </c>
      <c r="DD8" s="233">
        <v>130000</v>
      </c>
      <c r="DE8" s="233">
        <v>127000</v>
      </c>
      <c r="DF8" s="233">
        <v>140000</v>
      </c>
      <c r="DG8" s="233">
        <v>121000</v>
      </c>
      <c r="DH8" s="233">
        <v>0</v>
      </c>
      <c r="DI8" s="233">
        <v>50000</v>
      </c>
      <c r="DJ8" s="233">
        <v>60000</v>
      </c>
      <c r="DK8" s="234">
        <v>28000</v>
      </c>
      <c r="DL8" s="235"/>
      <c r="DN8" s="233">
        <v>2400100</v>
      </c>
      <c r="DO8" s="233">
        <v>1700000</v>
      </c>
      <c r="DP8" s="233">
        <v>1100100</v>
      </c>
      <c r="DQ8" s="233">
        <v>810000</v>
      </c>
      <c r="DR8" s="233">
        <v>710000</v>
      </c>
      <c r="DS8" s="233">
        <v>600000</v>
      </c>
      <c r="DT8" s="233">
        <v>589000</v>
      </c>
      <c r="DU8" s="233">
        <v>550000</v>
      </c>
      <c r="DV8" s="233">
        <v>490000</v>
      </c>
      <c r="DW8" s="233">
        <v>520000</v>
      </c>
      <c r="DX8" s="233">
        <v>460000</v>
      </c>
      <c r="DY8" s="233">
        <v>460000</v>
      </c>
      <c r="DZ8" s="233">
        <v>375000</v>
      </c>
      <c r="EA8" s="233">
        <v>350000</v>
      </c>
      <c r="EB8" s="233">
        <v>350000</v>
      </c>
      <c r="EC8" s="233">
        <v>250000</v>
      </c>
      <c r="ED8" s="234">
        <v>280000</v>
      </c>
      <c r="EG8" s="233">
        <v>2999900</v>
      </c>
      <c r="EH8" s="233">
        <v>1120000</v>
      </c>
      <c r="EI8" s="233">
        <v>680000</v>
      </c>
      <c r="EJ8" s="233">
        <v>520000</v>
      </c>
      <c r="EK8" s="233">
        <v>400000</v>
      </c>
      <c r="EL8" s="233">
        <v>300000</v>
      </c>
      <c r="EM8" s="233">
        <v>273000</v>
      </c>
      <c r="EN8" s="233">
        <v>220000</v>
      </c>
      <c r="EO8" s="233">
        <v>190000</v>
      </c>
      <c r="EP8" s="233">
        <v>170000</v>
      </c>
      <c r="EQ8" s="233">
        <v>150000</v>
      </c>
      <c r="ER8" s="233">
        <v>125500</v>
      </c>
      <c r="ES8" s="233">
        <v>99000</v>
      </c>
      <c r="ET8" s="233">
        <v>97800</v>
      </c>
      <c r="EU8" s="233">
        <v>115000</v>
      </c>
      <c r="EV8" s="233">
        <v>60000</v>
      </c>
      <c r="EW8" s="234">
        <v>35000</v>
      </c>
      <c r="EZ8" s="233">
        <v>2300000</v>
      </c>
      <c r="FA8" s="233">
        <v>1386500</v>
      </c>
      <c r="FB8" s="233">
        <v>850000</v>
      </c>
      <c r="FC8" s="233">
        <v>555500</v>
      </c>
      <c r="FD8" s="233">
        <v>496000</v>
      </c>
      <c r="FE8" s="233">
        <v>389000</v>
      </c>
      <c r="FF8" s="233">
        <v>333300</v>
      </c>
      <c r="FG8" s="233">
        <v>255500</v>
      </c>
      <c r="FH8" s="233">
        <v>220000</v>
      </c>
      <c r="FI8" s="233">
        <v>200000</v>
      </c>
      <c r="FJ8" s="233">
        <v>145400</v>
      </c>
      <c r="FK8" s="233">
        <v>130000</v>
      </c>
      <c r="FL8" s="233">
        <v>100000</v>
      </c>
      <c r="FM8" s="233">
        <v>90000</v>
      </c>
      <c r="FN8" s="233">
        <v>70000</v>
      </c>
      <c r="FO8" s="233">
        <v>54500</v>
      </c>
      <c r="FP8" s="234">
        <v>35000</v>
      </c>
      <c r="FS8" s="233">
        <v>2503600</v>
      </c>
      <c r="FT8" s="233">
        <v>1300000</v>
      </c>
      <c r="FU8" s="233">
        <v>751000</v>
      </c>
      <c r="FV8" s="233">
        <v>560000</v>
      </c>
      <c r="FW8" s="233">
        <v>480000</v>
      </c>
      <c r="FX8" s="233">
        <v>400000</v>
      </c>
      <c r="FY8" s="233">
        <v>320000</v>
      </c>
      <c r="FZ8" s="233">
        <v>259300</v>
      </c>
      <c r="GA8" s="233">
        <v>220000</v>
      </c>
      <c r="GB8" s="233">
        <v>180000</v>
      </c>
      <c r="GC8" s="233">
        <v>150000</v>
      </c>
      <c r="GD8" s="233">
        <v>122200</v>
      </c>
      <c r="GE8" s="233">
        <v>100000</v>
      </c>
      <c r="GF8" s="233">
        <v>77700</v>
      </c>
      <c r="GG8" s="233">
        <v>65000</v>
      </c>
      <c r="GH8" s="233">
        <v>50000</v>
      </c>
      <c r="GI8" s="234">
        <v>35000</v>
      </c>
      <c r="GL8" s="233">
        <v>3301100</v>
      </c>
      <c r="GM8" s="233">
        <v>1230000</v>
      </c>
      <c r="GN8" s="233">
        <v>900000</v>
      </c>
      <c r="GO8" s="233">
        <v>638300</v>
      </c>
      <c r="GP8" s="233">
        <v>520000</v>
      </c>
      <c r="GQ8" s="233">
        <v>470000</v>
      </c>
      <c r="GR8" s="233">
        <v>375400</v>
      </c>
      <c r="GS8" s="233">
        <v>305000</v>
      </c>
      <c r="GT8" s="233">
        <v>280000</v>
      </c>
      <c r="GU8" s="233">
        <v>222200</v>
      </c>
      <c r="GV8" s="233">
        <v>182000</v>
      </c>
      <c r="GW8" s="233">
        <v>150000</v>
      </c>
      <c r="GX8" s="233">
        <v>120000</v>
      </c>
      <c r="GY8" s="233">
        <v>110000</v>
      </c>
      <c r="GZ8" s="233">
        <v>88800</v>
      </c>
      <c r="HA8" s="233">
        <v>62000</v>
      </c>
      <c r="HB8" s="234">
        <v>45000</v>
      </c>
      <c r="HE8" s="233">
        <v>2100000</v>
      </c>
      <c r="HF8" s="233">
        <v>1600000</v>
      </c>
      <c r="HG8" s="233">
        <v>908400</v>
      </c>
      <c r="HH8" s="233">
        <v>830000</v>
      </c>
      <c r="HI8" s="233">
        <v>700000</v>
      </c>
      <c r="HJ8" s="233">
        <v>555500</v>
      </c>
      <c r="HK8" s="233">
        <v>520000</v>
      </c>
      <c r="HL8" s="233">
        <v>455500</v>
      </c>
      <c r="HM8" s="233">
        <v>450000</v>
      </c>
      <c r="HN8" s="233">
        <v>419200</v>
      </c>
      <c r="HO8" s="233">
        <v>375000</v>
      </c>
      <c r="HP8" s="233">
        <v>310000</v>
      </c>
      <c r="HQ8" s="233">
        <v>300000</v>
      </c>
      <c r="HR8" s="233">
        <v>300000</v>
      </c>
      <c r="HS8" s="233">
        <v>250000</v>
      </c>
      <c r="HT8" s="233">
        <v>200000</v>
      </c>
      <c r="HU8" s="234">
        <v>150000</v>
      </c>
      <c r="HX8" s="233">
        <v>1990000</v>
      </c>
      <c r="HY8" s="233">
        <v>1500000</v>
      </c>
      <c r="HZ8" s="233">
        <v>1141700</v>
      </c>
      <c r="IA8" s="233">
        <v>897200</v>
      </c>
      <c r="IB8" s="233">
        <v>700000</v>
      </c>
      <c r="IC8" s="233">
        <v>678900</v>
      </c>
      <c r="ID8" s="233">
        <v>540000</v>
      </c>
      <c r="IE8" s="233">
        <v>499000</v>
      </c>
      <c r="IF8" s="233">
        <v>450000</v>
      </c>
      <c r="IG8" s="233">
        <v>330000</v>
      </c>
      <c r="IH8" s="233">
        <v>384300</v>
      </c>
      <c r="II8" s="233">
        <v>341800</v>
      </c>
      <c r="IJ8" s="233">
        <v>300000</v>
      </c>
      <c r="IK8" s="233">
        <v>253000</v>
      </c>
      <c r="IL8" s="233">
        <v>250000</v>
      </c>
      <c r="IM8" s="233">
        <v>222000</v>
      </c>
      <c r="IN8" s="234">
        <v>170000</v>
      </c>
      <c r="IO8" s="18"/>
      <c r="IP8" s="18"/>
      <c r="IQ8" s="18"/>
      <c r="IR8" s="18"/>
      <c r="IS8" s="18"/>
      <c r="IT8" s="18"/>
      <c r="IU8" s="18"/>
      <c r="IV8" s="18"/>
    </row>
    <row r="9" spans="1:256" s="233" customFormat="1" ht="16.5" customHeight="1" hidden="1">
      <c r="A9" s="232">
        <v>8</v>
      </c>
      <c r="E9" s="233">
        <v>2877000</v>
      </c>
      <c r="F9" s="233">
        <v>1601000</v>
      </c>
      <c r="G9" s="233">
        <v>1000000</v>
      </c>
      <c r="H9" s="233">
        <v>700000</v>
      </c>
      <c r="I9" s="233">
        <v>600000</v>
      </c>
      <c r="J9" s="233">
        <v>500000</v>
      </c>
      <c r="K9" s="233">
        <v>450000</v>
      </c>
      <c r="L9" s="233">
        <v>400000</v>
      </c>
      <c r="M9" s="233">
        <v>350000</v>
      </c>
      <c r="N9" s="233">
        <v>360000</v>
      </c>
      <c r="O9" s="233">
        <v>300000</v>
      </c>
      <c r="P9" s="233">
        <v>325200</v>
      </c>
      <c r="Q9" s="233">
        <v>288800</v>
      </c>
      <c r="R9" s="233">
        <v>250000</v>
      </c>
      <c r="S9" s="233">
        <v>200000</v>
      </c>
      <c r="T9" s="234">
        <v>140000</v>
      </c>
      <c r="X9" s="233">
        <v>3200000</v>
      </c>
      <c r="Y9" s="233">
        <v>2000000</v>
      </c>
      <c r="Z9" s="233">
        <v>1369600</v>
      </c>
      <c r="AA9" s="233">
        <v>987600</v>
      </c>
      <c r="AB9" s="233">
        <v>710400</v>
      </c>
      <c r="AC9" s="233">
        <v>590000</v>
      </c>
      <c r="AD9" s="233">
        <v>460000</v>
      </c>
      <c r="AE9" s="233">
        <v>400000</v>
      </c>
      <c r="AF9" s="233">
        <v>300000</v>
      </c>
      <c r="AG9" s="233">
        <v>260000</v>
      </c>
      <c r="AH9" s="233">
        <v>245100</v>
      </c>
      <c r="AI9" s="233">
        <v>230000</v>
      </c>
      <c r="AJ9" s="233">
        <v>165000</v>
      </c>
      <c r="AK9" s="233">
        <v>120000</v>
      </c>
      <c r="AL9" s="233">
        <v>90000</v>
      </c>
      <c r="AM9" s="234">
        <v>60000</v>
      </c>
      <c r="AQ9" s="233">
        <v>0</v>
      </c>
      <c r="AR9" s="233">
        <v>2200000</v>
      </c>
      <c r="AS9" s="233">
        <v>1511000</v>
      </c>
      <c r="AT9" s="233">
        <v>1000000</v>
      </c>
      <c r="AU9" s="233">
        <v>801100</v>
      </c>
      <c r="AV9" s="233">
        <v>690000</v>
      </c>
      <c r="AW9" s="233">
        <v>581500</v>
      </c>
      <c r="AX9" s="233">
        <v>454800</v>
      </c>
      <c r="AY9" s="233">
        <v>372000</v>
      </c>
      <c r="AZ9" s="233">
        <v>300000</v>
      </c>
      <c r="BA9" s="233">
        <v>260000</v>
      </c>
      <c r="BB9" s="233">
        <v>250000</v>
      </c>
      <c r="BC9" s="233">
        <v>155400</v>
      </c>
      <c r="BD9" s="233">
        <v>136200</v>
      </c>
      <c r="BE9" s="233">
        <v>100000</v>
      </c>
      <c r="BF9" s="234">
        <v>75000</v>
      </c>
      <c r="BJ9" s="233">
        <v>0</v>
      </c>
      <c r="BK9" s="233">
        <v>2300000</v>
      </c>
      <c r="BL9" s="233">
        <v>1672700</v>
      </c>
      <c r="BM9" s="233">
        <v>1000000</v>
      </c>
      <c r="BN9" s="233">
        <v>715000</v>
      </c>
      <c r="BO9" s="233">
        <v>650000</v>
      </c>
      <c r="BP9" s="233">
        <v>522500</v>
      </c>
      <c r="BQ9" s="233">
        <v>478100</v>
      </c>
      <c r="BR9" s="233">
        <v>400000</v>
      </c>
      <c r="BS9" s="233">
        <v>300000</v>
      </c>
      <c r="BT9" s="233">
        <v>270000</v>
      </c>
      <c r="BU9" s="233">
        <v>219500</v>
      </c>
      <c r="BV9" s="233">
        <v>181800</v>
      </c>
      <c r="BW9" s="233">
        <v>143000</v>
      </c>
      <c r="BX9" s="233">
        <v>85000</v>
      </c>
      <c r="BY9" s="234">
        <v>60000</v>
      </c>
      <c r="CC9" s="233">
        <v>0</v>
      </c>
      <c r="CD9" s="233">
        <v>2150000</v>
      </c>
      <c r="CE9" s="233">
        <v>1500000</v>
      </c>
      <c r="CF9" s="233">
        <v>1000000</v>
      </c>
      <c r="CG9" s="233">
        <v>728000</v>
      </c>
      <c r="CH9" s="233">
        <v>590000</v>
      </c>
      <c r="CI9" s="233">
        <v>451000</v>
      </c>
      <c r="CJ9" s="233">
        <v>343300</v>
      </c>
      <c r="CK9" s="233">
        <v>315000</v>
      </c>
      <c r="CL9" s="233">
        <v>300000</v>
      </c>
      <c r="CM9" s="233">
        <v>251000</v>
      </c>
      <c r="CN9" s="233">
        <v>190000</v>
      </c>
      <c r="CO9" s="233">
        <v>146000</v>
      </c>
      <c r="CP9" s="233">
        <v>110000</v>
      </c>
      <c r="CQ9" s="233">
        <v>80000</v>
      </c>
      <c r="CR9" s="234">
        <v>55000</v>
      </c>
      <c r="CV9" s="233">
        <v>0</v>
      </c>
      <c r="CW9" s="233">
        <v>1155500</v>
      </c>
      <c r="CX9" s="233">
        <v>725000</v>
      </c>
      <c r="CY9" s="233">
        <v>0</v>
      </c>
      <c r="CZ9" s="233">
        <v>320000</v>
      </c>
      <c r="DA9" s="233">
        <v>350000</v>
      </c>
      <c r="DB9" s="233">
        <v>241000</v>
      </c>
      <c r="DC9" s="233">
        <v>220000</v>
      </c>
      <c r="DD9" s="233">
        <v>250000</v>
      </c>
      <c r="DE9" s="233">
        <v>100000</v>
      </c>
      <c r="DF9" s="233">
        <v>0</v>
      </c>
      <c r="DG9" s="233">
        <v>150000</v>
      </c>
      <c r="DH9" s="233">
        <v>100000</v>
      </c>
      <c r="DI9" s="233">
        <v>0</v>
      </c>
      <c r="DJ9" s="233">
        <v>100000</v>
      </c>
      <c r="DK9" s="234">
        <v>87500</v>
      </c>
      <c r="DL9" s="235"/>
      <c r="DO9" s="233">
        <v>3000000</v>
      </c>
      <c r="DP9" s="233">
        <v>2200000</v>
      </c>
      <c r="DQ9" s="233">
        <v>1643200</v>
      </c>
      <c r="DR9" s="233">
        <v>1300000</v>
      </c>
      <c r="DS9" s="233">
        <v>1080800</v>
      </c>
      <c r="DT9" s="233">
        <v>1028600</v>
      </c>
      <c r="DU9" s="233">
        <v>862800</v>
      </c>
      <c r="DV9" s="233">
        <v>717000</v>
      </c>
      <c r="DW9" s="233">
        <v>729400</v>
      </c>
      <c r="DX9" s="233">
        <v>630000</v>
      </c>
      <c r="DY9" s="233">
        <v>600000</v>
      </c>
      <c r="DZ9" s="233">
        <v>600000</v>
      </c>
      <c r="EA9" s="233">
        <v>584500</v>
      </c>
      <c r="EB9" s="233">
        <v>500000</v>
      </c>
      <c r="EC9" s="233">
        <v>430000</v>
      </c>
      <c r="ED9" s="234">
        <v>400000</v>
      </c>
      <c r="EH9" s="233">
        <v>3000000</v>
      </c>
      <c r="EI9" s="233">
        <v>1444400</v>
      </c>
      <c r="EJ9" s="233">
        <v>978400</v>
      </c>
      <c r="EK9" s="233">
        <v>777700</v>
      </c>
      <c r="EL9" s="233">
        <v>545600</v>
      </c>
      <c r="EM9" s="233">
        <v>470000</v>
      </c>
      <c r="EN9" s="233">
        <v>350000</v>
      </c>
      <c r="EO9" s="233">
        <v>305000</v>
      </c>
      <c r="EP9" s="233">
        <v>288800</v>
      </c>
      <c r="EQ9" s="233">
        <v>250000</v>
      </c>
      <c r="ER9" s="233">
        <v>200000</v>
      </c>
      <c r="ES9" s="233">
        <v>180000</v>
      </c>
      <c r="ET9" s="233">
        <v>145000</v>
      </c>
      <c r="EU9" s="233">
        <v>120000</v>
      </c>
      <c r="EV9" s="233">
        <v>100000</v>
      </c>
      <c r="EW9" s="234">
        <v>65000</v>
      </c>
      <c r="FA9" s="233">
        <v>2525200</v>
      </c>
      <c r="FB9" s="233">
        <v>1600000</v>
      </c>
      <c r="FC9" s="233">
        <v>1222200</v>
      </c>
      <c r="FD9" s="233">
        <v>867000</v>
      </c>
      <c r="FE9" s="233">
        <v>640000</v>
      </c>
      <c r="FF9" s="233">
        <v>550000</v>
      </c>
      <c r="FG9" s="233">
        <v>425000</v>
      </c>
      <c r="FH9" s="233">
        <v>350000</v>
      </c>
      <c r="FI9" s="233">
        <v>300000</v>
      </c>
      <c r="FJ9" s="233">
        <v>250000</v>
      </c>
      <c r="FK9" s="233">
        <v>220000</v>
      </c>
      <c r="FL9" s="233">
        <v>182500</v>
      </c>
      <c r="FM9" s="233">
        <v>150000</v>
      </c>
      <c r="FN9" s="233">
        <v>120000</v>
      </c>
      <c r="FO9" s="233">
        <v>99900</v>
      </c>
      <c r="FP9" s="234">
        <v>65400</v>
      </c>
      <c r="FT9" s="233">
        <v>2872100</v>
      </c>
      <c r="FU9" s="233">
        <v>1500500</v>
      </c>
      <c r="FV9" s="233">
        <v>1000000</v>
      </c>
      <c r="FW9" s="233">
        <v>800000</v>
      </c>
      <c r="FX9" s="233">
        <v>650000</v>
      </c>
      <c r="FY9" s="233">
        <v>500000</v>
      </c>
      <c r="FZ9" s="233">
        <v>435300</v>
      </c>
      <c r="GA9" s="233">
        <v>340700</v>
      </c>
      <c r="GB9" s="233">
        <v>300000</v>
      </c>
      <c r="GC9" s="233">
        <v>200000</v>
      </c>
      <c r="GD9" s="233">
        <v>200000</v>
      </c>
      <c r="GE9" s="233">
        <v>151000</v>
      </c>
      <c r="GF9" s="233">
        <v>131200</v>
      </c>
      <c r="GG9" s="233">
        <v>111100</v>
      </c>
      <c r="GH9" s="233">
        <v>85000</v>
      </c>
      <c r="GI9" s="234">
        <v>50000</v>
      </c>
      <c r="GM9" s="233">
        <v>0</v>
      </c>
      <c r="GN9" s="233">
        <v>1718100</v>
      </c>
      <c r="GO9" s="233">
        <v>1200000</v>
      </c>
      <c r="GP9" s="233">
        <v>902200</v>
      </c>
      <c r="GQ9" s="233">
        <v>700000</v>
      </c>
      <c r="GR9" s="233">
        <v>600000</v>
      </c>
      <c r="GS9" s="233">
        <v>490000</v>
      </c>
      <c r="GT9" s="233">
        <v>400000</v>
      </c>
      <c r="GU9" s="233">
        <v>346000</v>
      </c>
      <c r="GV9" s="233">
        <v>300000</v>
      </c>
      <c r="GW9" s="233">
        <v>250000</v>
      </c>
      <c r="GX9" s="233">
        <v>200000</v>
      </c>
      <c r="GY9" s="233">
        <v>163900</v>
      </c>
      <c r="GZ9" s="233">
        <v>150000</v>
      </c>
      <c r="HA9" s="233">
        <v>110000</v>
      </c>
      <c r="HB9" s="234">
        <v>77300</v>
      </c>
      <c r="HF9" s="233">
        <v>2311100</v>
      </c>
      <c r="HG9" s="233">
        <v>2000000</v>
      </c>
      <c r="HH9" s="233">
        <v>1500000</v>
      </c>
      <c r="HI9" s="233">
        <v>1156200</v>
      </c>
      <c r="HJ9" s="233">
        <v>950000</v>
      </c>
      <c r="HK9" s="233">
        <v>800000</v>
      </c>
      <c r="HL9" s="233">
        <v>695400</v>
      </c>
      <c r="HM9" s="233">
        <v>600000</v>
      </c>
      <c r="HN9" s="233">
        <v>598700</v>
      </c>
      <c r="HO9" s="233">
        <v>499000</v>
      </c>
      <c r="HP9" s="233">
        <v>450000</v>
      </c>
      <c r="HQ9" s="233">
        <v>450000</v>
      </c>
      <c r="HR9" s="233">
        <v>400000</v>
      </c>
      <c r="HS9" s="233">
        <v>360000</v>
      </c>
      <c r="HT9" s="233">
        <v>279000</v>
      </c>
      <c r="HU9" s="234">
        <v>200000</v>
      </c>
      <c r="HY9" s="233">
        <v>2645800</v>
      </c>
      <c r="HZ9" s="233">
        <v>2200000</v>
      </c>
      <c r="IA9" s="233">
        <v>1659000</v>
      </c>
      <c r="IB9" s="233">
        <v>1132200</v>
      </c>
      <c r="IC9" s="233">
        <v>1011000</v>
      </c>
      <c r="ID9" s="233">
        <v>900000</v>
      </c>
      <c r="IE9" s="233">
        <v>710000</v>
      </c>
      <c r="IF9" s="233">
        <v>650000</v>
      </c>
      <c r="IG9" s="233">
        <v>600000</v>
      </c>
      <c r="IH9" s="233">
        <v>500000</v>
      </c>
      <c r="II9" s="233">
        <v>465000</v>
      </c>
      <c r="IJ9" s="233">
        <v>400000</v>
      </c>
      <c r="IK9" s="233">
        <v>370000</v>
      </c>
      <c r="IL9" s="233">
        <v>355500</v>
      </c>
      <c r="IM9" s="233">
        <v>299900</v>
      </c>
      <c r="IN9" s="234">
        <v>230000</v>
      </c>
      <c r="IO9" s="18"/>
      <c r="IP9" s="18"/>
      <c r="IQ9" s="18"/>
      <c r="IR9" s="18"/>
      <c r="IS9" s="18"/>
      <c r="IT9" s="18"/>
      <c r="IU9" s="18"/>
      <c r="IV9" s="18"/>
    </row>
    <row r="10" spans="1:256" s="233" customFormat="1" ht="16.5" customHeight="1" hidden="1">
      <c r="A10" s="232">
        <v>9</v>
      </c>
      <c r="G10" s="233">
        <v>2555500</v>
      </c>
      <c r="H10" s="233">
        <v>1800000</v>
      </c>
      <c r="I10" s="233">
        <v>1375000</v>
      </c>
      <c r="J10" s="233">
        <v>1000000</v>
      </c>
      <c r="K10" s="233">
        <v>800000</v>
      </c>
      <c r="L10" s="233">
        <v>640000</v>
      </c>
      <c r="M10" s="233">
        <v>580000</v>
      </c>
      <c r="N10" s="233">
        <v>520000</v>
      </c>
      <c r="O10" s="233">
        <v>500000</v>
      </c>
      <c r="P10" s="233">
        <v>453000</v>
      </c>
      <c r="Q10" s="233">
        <v>406600</v>
      </c>
      <c r="R10" s="233">
        <v>370000</v>
      </c>
      <c r="S10" s="233">
        <v>336000</v>
      </c>
      <c r="T10" s="234">
        <v>230000</v>
      </c>
      <c r="Z10" s="233">
        <v>2810000</v>
      </c>
      <c r="AA10" s="233">
        <v>2134500</v>
      </c>
      <c r="AB10" s="233">
        <v>1547800</v>
      </c>
      <c r="AC10" s="233">
        <v>1050000</v>
      </c>
      <c r="AD10" s="233">
        <v>750000</v>
      </c>
      <c r="AE10" s="233">
        <v>631200</v>
      </c>
      <c r="AF10" s="233">
        <v>500000</v>
      </c>
      <c r="AG10" s="233">
        <v>400000</v>
      </c>
      <c r="AH10" s="233">
        <v>360000</v>
      </c>
      <c r="AI10" s="233">
        <v>350000</v>
      </c>
      <c r="AJ10" s="233">
        <v>295800</v>
      </c>
      <c r="AK10" s="233">
        <v>220000</v>
      </c>
      <c r="AL10" s="233">
        <v>202000</v>
      </c>
      <c r="AM10" s="234">
        <v>100000</v>
      </c>
      <c r="AS10" s="233">
        <v>3211100</v>
      </c>
      <c r="AT10" s="233">
        <v>2600100</v>
      </c>
      <c r="AU10" s="233">
        <v>1730000</v>
      </c>
      <c r="AV10" s="233">
        <v>1199900</v>
      </c>
      <c r="AW10" s="233">
        <v>855500</v>
      </c>
      <c r="AX10" s="233">
        <v>770000</v>
      </c>
      <c r="AY10" s="233">
        <v>590000</v>
      </c>
      <c r="AZ10" s="233">
        <v>495000</v>
      </c>
      <c r="BA10" s="233">
        <v>456600</v>
      </c>
      <c r="BB10" s="233">
        <v>375000</v>
      </c>
      <c r="BC10" s="233">
        <v>300000</v>
      </c>
      <c r="BD10" s="233">
        <v>250000</v>
      </c>
      <c r="BE10" s="233">
        <v>151000</v>
      </c>
      <c r="BF10" s="234">
        <v>110000</v>
      </c>
      <c r="BL10" s="233">
        <v>3151200</v>
      </c>
      <c r="BM10" s="233">
        <v>2222200</v>
      </c>
      <c r="BN10" s="233">
        <v>1500000</v>
      </c>
      <c r="BO10" s="233">
        <v>1000000</v>
      </c>
      <c r="BP10" s="233">
        <v>880000</v>
      </c>
      <c r="BQ10" s="233">
        <v>700000</v>
      </c>
      <c r="BR10" s="233">
        <v>600000</v>
      </c>
      <c r="BS10" s="233">
        <v>510400</v>
      </c>
      <c r="BT10" s="233">
        <v>420000</v>
      </c>
      <c r="BU10" s="233">
        <v>330000</v>
      </c>
      <c r="BV10" s="233">
        <v>300000</v>
      </c>
      <c r="BW10" s="233">
        <v>238000</v>
      </c>
      <c r="BX10" s="233">
        <v>169000</v>
      </c>
      <c r="BY10" s="234">
        <v>90000</v>
      </c>
      <c r="CE10" s="233">
        <v>2555000</v>
      </c>
      <c r="CF10" s="233">
        <v>2499900</v>
      </c>
      <c r="CG10" s="233">
        <v>1412000</v>
      </c>
      <c r="CH10" s="233">
        <v>1039000</v>
      </c>
      <c r="CI10" s="233">
        <v>800100</v>
      </c>
      <c r="CJ10" s="233">
        <v>650000</v>
      </c>
      <c r="CK10" s="233">
        <v>512300</v>
      </c>
      <c r="CL10" s="233">
        <v>410900</v>
      </c>
      <c r="CM10" s="233">
        <v>350000</v>
      </c>
      <c r="CN10" s="233">
        <v>315000</v>
      </c>
      <c r="CO10" s="233">
        <v>250000</v>
      </c>
      <c r="CP10" s="233">
        <v>190000</v>
      </c>
      <c r="CQ10" s="233">
        <v>140000</v>
      </c>
      <c r="CR10" s="234">
        <v>95000</v>
      </c>
      <c r="CX10" s="233">
        <v>0</v>
      </c>
      <c r="CY10" s="233">
        <v>1200000</v>
      </c>
      <c r="CZ10" s="233">
        <v>1015000</v>
      </c>
      <c r="DA10" s="233">
        <v>650000</v>
      </c>
      <c r="DB10" s="233">
        <v>400000</v>
      </c>
      <c r="DC10" s="233">
        <v>350000</v>
      </c>
      <c r="DD10" s="233">
        <v>300000</v>
      </c>
      <c r="DE10" s="233">
        <v>260000</v>
      </c>
      <c r="DF10" s="233">
        <v>277700</v>
      </c>
      <c r="DG10" s="233">
        <v>204000</v>
      </c>
      <c r="DH10" s="233">
        <v>200000</v>
      </c>
      <c r="DI10" s="233">
        <v>200000</v>
      </c>
      <c r="DJ10" s="233">
        <v>100000</v>
      </c>
      <c r="DK10" s="234">
        <v>107000</v>
      </c>
      <c r="DL10" s="235"/>
      <c r="DQ10" s="233">
        <v>2650000</v>
      </c>
      <c r="DR10" s="233">
        <v>2300000</v>
      </c>
      <c r="DS10" s="233">
        <v>1909800</v>
      </c>
      <c r="DT10" s="233">
        <v>1600700</v>
      </c>
      <c r="DU10" s="233">
        <v>1380000</v>
      </c>
      <c r="DV10" s="233">
        <v>1100000</v>
      </c>
      <c r="DW10" s="233">
        <v>920000</v>
      </c>
      <c r="DX10" s="233">
        <v>850000</v>
      </c>
      <c r="DY10" s="233">
        <v>800000</v>
      </c>
      <c r="DZ10" s="233">
        <v>750000</v>
      </c>
      <c r="EA10" s="233">
        <v>750000</v>
      </c>
      <c r="EB10" s="233">
        <v>700000</v>
      </c>
      <c r="EC10" s="233">
        <v>578400</v>
      </c>
      <c r="ED10" s="234">
        <v>450000</v>
      </c>
      <c r="EJ10" s="233">
        <v>2331200</v>
      </c>
      <c r="EK10" s="233">
        <v>1550000</v>
      </c>
      <c r="EL10" s="233">
        <v>1100000</v>
      </c>
      <c r="EM10" s="233">
        <v>852500</v>
      </c>
      <c r="EN10" s="233">
        <v>620000</v>
      </c>
      <c r="EO10" s="233">
        <v>500000</v>
      </c>
      <c r="EP10" s="233">
        <v>480000</v>
      </c>
      <c r="EQ10" s="233">
        <v>333300</v>
      </c>
      <c r="ER10" s="233">
        <v>300000</v>
      </c>
      <c r="ES10" s="233">
        <v>281100</v>
      </c>
      <c r="ET10" s="233">
        <v>225000</v>
      </c>
      <c r="EU10" s="233">
        <v>200000</v>
      </c>
      <c r="EV10" s="233">
        <v>151000</v>
      </c>
      <c r="EW10" s="234">
        <v>95400</v>
      </c>
      <c r="FC10" s="233">
        <v>2300000</v>
      </c>
      <c r="FD10" s="233">
        <v>1600000</v>
      </c>
      <c r="FE10" s="233">
        <v>1198800</v>
      </c>
      <c r="FF10" s="233">
        <v>875000</v>
      </c>
      <c r="FG10" s="233">
        <v>743600</v>
      </c>
      <c r="FH10" s="233">
        <v>600000</v>
      </c>
      <c r="FI10" s="233">
        <v>444400</v>
      </c>
      <c r="FJ10" s="233">
        <v>380000</v>
      </c>
      <c r="FK10" s="233">
        <v>348300</v>
      </c>
      <c r="FL10" s="233">
        <v>255000</v>
      </c>
      <c r="FM10" s="233">
        <v>235500</v>
      </c>
      <c r="FN10" s="233">
        <v>170000</v>
      </c>
      <c r="FO10" s="233">
        <v>140000</v>
      </c>
      <c r="FP10" s="234">
        <v>90000</v>
      </c>
      <c r="FV10" s="233">
        <v>3000000</v>
      </c>
      <c r="FW10" s="233">
        <v>1750000</v>
      </c>
      <c r="FX10" s="233">
        <v>1199900</v>
      </c>
      <c r="FY10" s="233">
        <v>867500</v>
      </c>
      <c r="FZ10" s="233">
        <v>700000</v>
      </c>
      <c r="GA10" s="233">
        <v>535000</v>
      </c>
      <c r="GB10" s="233">
        <v>450000</v>
      </c>
      <c r="GC10" s="233">
        <v>375000</v>
      </c>
      <c r="GD10" s="233">
        <v>320000</v>
      </c>
      <c r="GE10" s="233">
        <v>274000</v>
      </c>
      <c r="GF10" s="233">
        <v>220000</v>
      </c>
      <c r="GG10" s="233">
        <v>190000</v>
      </c>
      <c r="GH10" s="233">
        <v>140000</v>
      </c>
      <c r="GI10" s="234">
        <v>90000</v>
      </c>
      <c r="GO10" s="233">
        <v>2400000</v>
      </c>
      <c r="GP10" s="233">
        <v>1600000</v>
      </c>
      <c r="GQ10" s="233">
        <v>1111200</v>
      </c>
      <c r="GR10" s="233">
        <v>873600</v>
      </c>
      <c r="GS10" s="233">
        <v>732800</v>
      </c>
      <c r="GT10" s="233">
        <v>630000</v>
      </c>
      <c r="GU10" s="233">
        <v>590000</v>
      </c>
      <c r="GV10" s="233">
        <v>455000</v>
      </c>
      <c r="GW10" s="233">
        <v>400000</v>
      </c>
      <c r="GX10" s="233">
        <v>320000</v>
      </c>
      <c r="GY10" s="233">
        <v>275000</v>
      </c>
      <c r="GZ10" s="233">
        <v>220000</v>
      </c>
      <c r="HA10" s="233">
        <v>170000</v>
      </c>
      <c r="HB10" s="234">
        <v>120700</v>
      </c>
      <c r="HH10" s="233">
        <v>0</v>
      </c>
      <c r="HI10" s="233">
        <v>1900000</v>
      </c>
      <c r="HJ10" s="233">
        <v>1700000</v>
      </c>
      <c r="HK10" s="233">
        <v>1509600</v>
      </c>
      <c r="HL10" s="233">
        <v>1200000</v>
      </c>
      <c r="HM10" s="233">
        <v>950000</v>
      </c>
      <c r="HN10" s="233">
        <v>900000</v>
      </c>
      <c r="HO10" s="233">
        <v>686000</v>
      </c>
      <c r="HP10" s="233">
        <v>660000</v>
      </c>
      <c r="HQ10" s="233">
        <v>300000</v>
      </c>
      <c r="HR10" s="233">
        <v>500000</v>
      </c>
      <c r="HS10" s="233">
        <v>452000</v>
      </c>
      <c r="HT10" s="233">
        <v>350000</v>
      </c>
      <c r="HU10" s="234">
        <v>280000</v>
      </c>
      <c r="IA10" s="233">
        <v>0</v>
      </c>
      <c r="IB10" s="233">
        <v>2000000</v>
      </c>
      <c r="IC10" s="233">
        <v>1555500</v>
      </c>
      <c r="ID10" s="233">
        <v>1300000</v>
      </c>
      <c r="IE10" s="233">
        <v>1100000</v>
      </c>
      <c r="IF10" s="233">
        <v>950000</v>
      </c>
      <c r="IG10" s="233">
        <v>760000</v>
      </c>
      <c r="IH10" s="233">
        <v>710000</v>
      </c>
      <c r="II10" s="233">
        <v>600100</v>
      </c>
      <c r="IJ10" s="233">
        <v>520000</v>
      </c>
      <c r="IK10" s="233">
        <v>525000</v>
      </c>
      <c r="IL10" s="233">
        <v>541700</v>
      </c>
      <c r="IM10" s="233">
        <v>350000</v>
      </c>
      <c r="IN10" s="234">
        <v>300000</v>
      </c>
      <c r="IO10" s="18"/>
      <c r="IP10" s="18"/>
      <c r="IQ10" s="18"/>
      <c r="IR10" s="18"/>
      <c r="IS10" s="18"/>
      <c r="IT10" s="18"/>
      <c r="IU10" s="18"/>
      <c r="IV10" s="18"/>
    </row>
    <row r="11" spans="1:256" s="233" customFormat="1" ht="16.5" customHeight="1" hidden="1">
      <c r="A11" s="232">
        <v>10</v>
      </c>
      <c r="I11" s="233">
        <v>2850000</v>
      </c>
      <c r="J11" s="233">
        <v>2500000</v>
      </c>
      <c r="K11" s="233">
        <v>2000000</v>
      </c>
      <c r="L11" s="233">
        <v>1512000</v>
      </c>
      <c r="M11" s="233">
        <v>1100000</v>
      </c>
      <c r="N11" s="233">
        <v>1000000</v>
      </c>
      <c r="O11" s="233">
        <v>900000</v>
      </c>
      <c r="P11" s="233">
        <v>733300</v>
      </c>
      <c r="Q11" s="233">
        <v>715000</v>
      </c>
      <c r="R11" s="233">
        <v>700000</v>
      </c>
      <c r="S11" s="233">
        <v>591500</v>
      </c>
      <c r="T11" s="234">
        <v>444400</v>
      </c>
      <c r="AB11" s="233">
        <v>2648100</v>
      </c>
      <c r="AC11" s="233">
        <v>2100000</v>
      </c>
      <c r="AD11" s="233">
        <v>1800000</v>
      </c>
      <c r="AE11" s="233">
        <v>1350000</v>
      </c>
      <c r="AF11" s="233">
        <v>1000000</v>
      </c>
      <c r="AG11" s="233">
        <v>719400</v>
      </c>
      <c r="AH11" s="233">
        <v>652200</v>
      </c>
      <c r="AI11" s="233">
        <v>600000</v>
      </c>
      <c r="AJ11" s="233">
        <v>476400</v>
      </c>
      <c r="AK11" s="233">
        <v>400000</v>
      </c>
      <c r="AL11" s="233">
        <v>340000</v>
      </c>
      <c r="AM11" s="234">
        <v>199100</v>
      </c>
      <c r="AU11" s="233">
        <v>3500000</v>
      </c>
      <c r="AV11" s="233">
        <v>2440100</v>
      </c>
      <c r="AW11" s="233">
        <v>1850000</v>
      </c>
      <c r="AX11" s="233">
        <v>1435600</v>
      </c>
      <c r="AY11" s="233">
        <v>1101700</v>
      </c>
      <c r="AZ11" s="233">
        <v>889900</v>
      </c>
      <c r="BA11" s="233">
        <v>700000</v>
      </c>
      <c r="BB11" s="233">
        <v>586800</v>
      </c>
      <c r="BC11" s="233">
        <v>550000</v>
      </c>
      <c r="BD11" s="233">
        <v>439000</v>
      </c>
      <c r="BE11" s="233">
        <v>300000</v>
      </c>
      <c r="BF11" s="234">
        <v>200000</v>
      </c>
      <c r="BN11" s="233">
        <v>3230000</v>
      </c>
      <c r="BO11" s="233">
        <v>2302100</v>
      </c>
      <c r="BP11" s="233">
        <v>1700000</v>
      </c>
      <c r="BQ11" s="233">
        <v>1345600</v>
      </c>
      <c r="BR11" s="233">
        <v>1000000</v>
      </c>
      <c r="BS11" s="233">
        <v>900000</v>
      </c>
      <c r="BT11" s="233">
        <v>700000</v>
      </c>
      <c r="BU11" s="233">
        <v>590000</v>
      </c>
      <c r="BV11" s="233">
        <v>501200</v>
      </c>
      <c r="BW11" s="233">
        <v>420000</v>
      </c>
      <c r="BX11" s="233">
        <v>320000</v>
      </c>
      <c r="BY11" s="234">
        <v>225000</v>
      </c>
      <c r="CG11" s="233">
        <v>2800000</v>
      </c>
      <c r="CH11" s="233">
        <v>2500000</v>
      </c>
      <c r="CI11" s="233">
        <v>1560000</v>
      </c>
      <c r="CJ11" s="233">
        <v>1299900</v>
      </c>
      <c r="CK11" s="233">
        <v>1000000</v>
      </c>
      <c r="CL11" s="233">
        <v>700000</v>
      </c>
      <c r="CM11" s="233">
        <v>600000</v>
      </c>
      <c r="CN11" s="233">
        <v>500000</v>
      </c>
      <c r="CO11" s="233">
        <v>420000</v>
      </c>
      <c r="CP11" s="233">
        <v>350000</v>
      </c>
      <c r="CQ11" s="233">
        <v>290000</v>
      </c>
      <c r="CR11" s="234">
        <v>165000</v>
      </c>
      <c r="CZ11" s="233">
        <v>2300000</v>
      </c>
      <c r="DA11" s="233">
        <v>1500000</v>
      </c>
      <c r="DB11" s="233">
        <v>1150000</v>
      </c>
      <c r="DC11" s="233">
        <v>800000</v>
      </c>
      <c r="DD11" s="233">
        <v>611100</v>
      </c>
      <c r="DE11" s="233">
        <v>504100</v>
      </c>
      <c r="DF11" s="233">
        <v>455500</v>
      </c>
      <c r="DG11" s="233">
        <v>350500</v>
      </c>
      <c r="DH11" s="233">
        <v>290100</v>
      </c>
      <c r="DI11" s="233">
        <v>300000</v>
      </c>
      <c r="DJ11" s="233">
        <v>223000</v>
      </c>
      <c r="DK11" s="234">
        <v>180000</v>
      </c>
      <c r="DL11" s="235"/>
      <c r="DS11" s="233">
        <v>3307300</v>
      </c>
      <c r="DT11" s="233">
        <v>2435700</v>
      </c>
      <c r="DU11" s="233">
        <v>2058500</v>
      </c>
      <c r="DV11" s="233">
        <v>1810700</v>
      </c>
      <c r="DW11" s="233">
        <v>1600000</v>
      </c>
      <c r="DX11" s="233">
        <v>1450000</v>
      </c>
      <c r="DY11" s="233">
        <v>1300000</v>
      </c>
      <c r="DZ11" s="233">
        <v>1200000</v>
      </c>
      <c r="EA11" s="233">
        <v>1050000</v>
      </c>
      <c r="EB11" s="233">
        <v>1000000</v>
      </c>
      <c r="EC11" s="233">
        <v>800000</v>
      </c>
      <c r="ED11" s="234">
        <v>650000</v>
      </c>
      <c r="EL11" s="233">
        <v>2689700</v>
      </c>
      <c r="EM11" s="233">
        <v>1800000</v>
      </c>
      <c r="EN11" s="233">
        <v>1300000</v>
      </c>
      <c r="EO11" s="233">
        <v>889700</v>
      </c>
      <c r="EP11" s="233">
        <v>750000</v>
      </c>
      <c r="EQ11" s="233">
        <v>580000</v>
      </c>
      <c r="ER11" s="233">
        <v>480000</v>
      </c>
      <c r="ES11" s="233">
        <v>420000</v>
      </c>
      <c r="ET11" s="233">
        <v>350000</v>
      </c>
      <c r="EU11" s="233">
        <v>377900</v>
      </c>
      <c r="EV11" s="233">
        <v>300200</v>
      </c>
      <c r="EW11" s="234">
        <v>222200</v>
      </c>
      <c r="FE11" s="233">
        <v>2400000</v>
      </c>
      <c r="FF11" s="233">
        <v>1700000</v>
      </c>
      <c r="FG11" s="233">
        <v>1350000</v>
      </c>
      <c r="FH11" s="233">
        <v>950000</v>
      </c>
      <c r="FI11" s="233">
        <v>749000</v>
      </c>
      <c r="FJ11" s="233">
        <v>600000</v>
      </c>
      <c r="FK11" s="233">
        <v>470000</v>
      </c>
      <c r="FL11" s="233">
        <v>411100</v>
      </c>
      <c r="FM11" s="233">
        <v>344400</v>
      </c>
      <c r="FN11" s="233">
        <v>289000</v>
      </c>
      <c r="FO11" s="233">
        <v>250000</v>
      </c>
      <c r="FP11" s="234">
        <v>180000</v>
      </c>
      <c r="FX11" s="233">
        <v>2400000</v>
      </c>
      <c r="FY11" s="233">
        <v>1699000</v>
      </c>
      <c r="FZ11" s="233">
        <v>1215000</v>
      </c>
      <c r="GA11" s="233">
        <v>950000</v>
      </c>
      <c r="GB11" s="233">
        <v>730000</v>
      </c>
      <c r="GC11" s="233">
        <v>600000</v>
      </c>
      <c r="GD11" s="233">
        <v>500200</v>
      </c>
      <c r="GE11" s="233">
        <v>420900</v>
      </c>
      <c r="GF11" s="233">
        <v>333300</v>
      </c>
      <c r="GG11" s="233">
        <v>290000</v>
      </c>
      <c r="GH11" s="233">
        <v>267900</v>
      </c>
      <c r="GI11" s="234">
        <v>150000</v>
      </c>
      <c r="GQ11" s="233">
        <v>2440000</v>
      </c>
      <c r="GR11" s="233">
        <v>1900000</v>
      </c>
      <c r="GS11" s="233">
        <v>1500000</v>
      </c>
      <c r="GT11" s="233">
        <v>999900</v>
      </c>
      <c r="GU11" s="233">
        <v>850000</v>
      </c>
      <c r="GV11" s="233">
        <v>800000</v>
      </c>
      <c r="GW11" s="233">
        <v>700000</v>
      </c>
      <c r="GX11" s="233">
        <v>448700</v>
      </c>
      <c r="GY11" s="233">
        <v>427600</v>
      </c>
      <c r="GZ11" s="233">
        <v>389800</v>
      </c>
      <c r="HA11" s="233">
        <v>300000</v>
      </c>
      <c r="HB11" s="234">
        <v>189000</v>
      </c>
      <c r="HJ11" s="233">
        <v>2600000</v>
      </c>
      <c r="HK11" s="233">
        <v>2200000</v>
      </c>
      <c r="HL11" s="233">
        <v>1900000</v>
      </c>
      <c r="HM11" s="233">
        <v>1600000</v>
      </c>
      <c r="HN11" s="233">
        <v>1222200</v>
      </c>
      <c r="HO11" s="233">
        <v>1000000</v>
      </c>
      <c r="HP11" s="233">
        <v>800000</v>
      </c>
      <c r="HQ11" s="233">
        <v>750000</v>
      </c>
      <c r="HR11" s="233">
        <v>638500</v>
      </c>
      <c r="HS11" s="233">
        <v>668700</v>
      </c>
      <c r="HT11" s="233">
        <v>500000</v>
      </c>
      <c r="HU11" s="234">
        <v>355500</v>
      </c>
      <c r="IC11" s="233">
        <v>0</v>
      </c>
      <c r="ID11" s="233">
        <v>2200000</v>
      </c>
      <c r="IE11" s="233">
        <v>1899000</v>
      </c>
      <c r="IF11" s="233">
        <v>1540000</v>
      </c>
      <c r="IG11" s="233">
        <v>1250000</v>
      </c>
      <c r="IH11" s="233">
        <v>1100000</v>
      </c>
      <c r="II11" s="233">
        <v>900200</v>
      </c>
      <c r="IJ11" s="233">
        <v>831700</v>
      </c>
      <c r="IK11" s="233">
        <v>751100</v>
      </c>
      <c r="IL11" s="233">
        <v>555500</v>
      </c>
      <c r="IM11" s="233">
        <v>490000</v>
      </c>
      <c r="IN11" s="234">
        <v>355500</v>
      </c>
      <c r="IO11" s="18"/>
      <c r="IP11" s="18"/>
      <c r="IQ11" s="18"/>
      <c r="IR11" s="18"/>
      <c r="IS11" s="18"/>
      <c r="IT11" s="18"/>
      <c r="IU11" s="18"/>
      <c r="IV11" s="18"/>
    </row>
    <row r="12" spans="1:256" s="233" customFormat="1" ht="16.5" customHeight="1" hidden="1">
      <c r="A12" s="232">
        <v>11</v>
      </c>
      <c r="K12" s="233">
        <v>0</v>
      </c>
      <c r="L12" s="233">
        <v>3200000</v>
      </c>
      <c r="M12" s="233">
        <v>2615500</v>
      </c>
      <c r="N12" s="233">
        <v>2200000</v>
      </c>
      <c r="O12" s="233">
        <v>1701100</v>
      </c>
      <c r="P12" s="233">
        <v>1259600</v>
      </c>
      <c r="Q12" s="233">
        <v>1099000</v>
      </c>
      <c r="R12" s="233">
        <v>880000</v>
      </c>
      <c r="S12" s="233">
        <v>830000</v>
      </c>
      <c r="T12" s="234">
        <v>560000</v>
      </c>
      <c r="AD12" s="233">
        <v>3007900</v>
      </c>
      <c r="AE12" s="233">
        <v>2333300</v>
      </c>
      <c r="AF12" s="233">
        <v>1813100</v>
      </c>
      <c r="AG12" s="233">
        <v>1605500</v>
      </c>
      <c r="AH12" s="233">
        <v>1300000</v>
      </c>
      <c r="AI12" s="233">
        <v>980000</v>
      </c>
      <c r="AJ12" s="233">
        <v>820000</v>
      </c>
      <c r="AK12" s="233">
        <v>600000</v>
      </c>
      <c r="AL12" s="233">
        <v>444400</v>
      </c>
      <c r="AM12" s="234">
        <v>260000</v>
      </c>
      <c r="AW12" s="233">
        <v>3125900</v>
      </c>
      <c r="AX12" s="233">
        <v>2499500</v>
      </c>
      <c r="AY12" s="233">
        <v>2003000</v>
      </c>
      <c r="AZ12" s="233">
        <v>1700000</v>
      </c>
      <c r="BA12" s="233">
        <v>1500000</v>
      </c>
      <c r="BB12" s="233">
        <v>1048300</v>
      </c>
      <c r="BC12" s="233">
        <v>800000</v>
      </c>
      <c r="BD12" s="233">
        <v>710000</v>
      </c>
      <c r="BE12" s="233">
        <v>450000</v>
      </c>
      <c r="BF12" s="234">
        <v>301000</v>
      </c>
      <c r="BP12" s="233">
        <v>0</v>
      </c>
      <c r="BQ12" s="233">
        <v>3000000</v>
      </c>
      <c r="BR12" s="233">
        <v>2155100</v>
      </c>
      <c r="BS12" s="233">
        <v>1600000</v>
      </c>
      <c r="BT12" s="233">
        <v>1332000</v>
      </c>
      <c r="BU12" s="233">
        <v>1000000</v>
      </c>
      <c r="BV12" s="233">
        <v>700000</v>
      </c>
      <c r="BW12" s="233">
        <v>611000</v>
      </c>
      <c r="BX12" s="233">
        <v>400000</v>
      </c>
      <c r="BY12" s="234">
        <v>250000</v>
      </c>
      <c r="CI12" s="233">
        <v>0</v>
      </c>
      <c r="CJ12" s="233">
        <v>2299900</v>
      </c>
      <c r="CK12" s="233">
        <v>1935200</v>
      </c>
      <c r="CL12" s="233">
        <v>1500000</v>
      </c>
      <c r="CM12" s="233">
        <v>1102500</v>
      </c>
      <c r="CN12" s="233">
        <v>804600</v>
      </c>
      <c r="CO12" s="233">
        <v>650000</v>
      </c>
      <c r="CP12" s="233">
        <v>500000</v>
      </c>
      <c r="CQ12" s="233">
        <v>377700</v>
      </c>
      <c r="CR12" s="234">
        <v>240000</v>
      </c>
      <c r="DB12" s="233">
        <v>2387600</v>
      </c>
      <c r="DC12" s="233">
        <v>1650000</v>
      </c>
      <c r="DD12" s="233">
        <v>1400000</v>
      </c>
      <c r="DE12" s="233">
        <v>1100000</v>
      </c>
      <c r="DF12" s="233">
        <v>700000</v>
      </c>
      <c r="DG12" s="233">
        <v>600000</v>
      </c>
      <c r="DH12" s="233">
        <v>499000</v>
      </c>
      <c r="DI12" s="233">
        <v>300000</v>
      </c>
      <c r="DJ12" s="233">
        <v>280000</v>
      </c>
      <c r="DK12" s="234">
        <v>220000</v>
      </c>
      <c r="DL12" s="235"/>
      <c r="DU12" s="233">
        <v>0</v>
      </c>
      <c r="DV12" s="233">
        <v>2500000</v>
      </c>
      <c r="DW12" s="233">
        <v>2500000</v>
      </c>
      <c r="DX12" s="233">
        <v>2355900</v>
      </c>
      <c r="DY12" s="233">
        <v>2000000</v>
      </c>
      <c r="DZ12" s="233">
        <v>1850600</v>
      </c>
      <c r="EA12" s="233">
        <v>1590000</v>
      </c>
      <c r="EB12" s="233">
        <v>1333800</v>
      </c>
      <c r="EC12" s="233">
        <v>1100000</v>
      </c>
      <c r="ED12" s="234">
        <v>850000</v>
      </c>
      <c r="EN12" s="233">
        <v>2470000</v>
      </c>
      <c r="EO12" s="233">
        <v>1684100</v>
      </c>
      <c r="EP12" s="233">
        <v>1350000</v>
      </c>
      <c r="EQ12" s="233">
        <v>1000000</v>
      </c>
      <c r="ER12" s="233">
        <v>850000</v>
      </c>
      <c r="ES12" s="233">
        <v>599000</v>
      </c>
      <c r="ET12" s="233">
        <v>474900</v>
      </c>
      <c r="EU12" s="233">
        <v>400000</v>
      </c>
      <c r="EV12" s="233">
        <v>314500</v>
      </c>
      <c r="EW12" s="234">
        <v>250000</v>
      </c>
      <c r="FG12" s="233">
        <v>2300000</v>
      </c>
      <c r="FH12" s="233">
        <v>1800000</v>
      </c>
      <c r="FI12" s="233">
        <v>1200000</v>
      </c>
      <c r="FJ12" s="233">
        <v>999000</v>
      </c>
      <c r="FK12" s="233">
        <v>769000</v>
      </c>
      <c r="FL12" s="233">
        <v>600000</v>
      </c>
      <c r="FM12" s="233">
        <v>545000</v>
      </c>
      <c r="FN12" s="233">
        <v>391000</v>
      </c>
      <c r="FO12" s="233">
        <v>280000</v>
      </c>
      <c r="FP12" s="234">
        <v>195000</v>
      </c>
      <c r="FZ12" s="233">
        <v>2600000</v>
      </c>
      <c r="GA12" s="233">
        <v>2000000</v>
      </c>
      <c r="GB12" s="233">
        <v>1399900</v>
      </c>
      <c r="GC12" s="233">
        <v>990000</v>
      </c>
      <c r="GD12" s="233">
        <v>795100</v>
      </c>
      <c r="GE12" s="233">
        <v>567000</v>
      </c>
      <c r="GF12" s="233">
        <v>465000</v>
      </c>
      <c r="GG12" s="233">
        <v>380000</v>
      </c>
      <c r="GH12" s="233">
        <v>315000</v>
      </c>
      <c r="GI12" s="234">
        <v>180000</v>
      </c>
      <c r="GS12" s="233">
        <v>2280000</v>
      </c>
      <c r="GT12" s="233">
        <v>1869000</v>
      </c>
      <c r="GU12" s="233">
        <v>1390000</v>
      </c>
      <c r="GV12" s="233">
        <v>1200500</v>
      </c>
      <c r="GW12" s="233">
        <v>1000000</v>
      </c>
      <c r="GX12" s="233">
        <v>700000</v>
      </c>
      <c r="GY12" s="233">
        <v>550000</v>
      </c>
      <c r="GZ12" s="233">
        <v>400000</v>
      </c>
      <c r="HA12" s="233">
        <v>326900</v>
      </c>
      <c r="HB12" s="234">
        <v>232300</v>
      </c>
      <c r="HL12" s="233">
        <v>3076700</v>
      </c>
      <c r="HM12" s="233">
        <v>0</v>
      </c>
      <c r="HN12" s="233">
        <v>1900000</v>
      </c>
      <c r="HO12" s="233">
        <v>1632800</v>
      </c>
      <c r="HP12" s="233">
        <v>1300000</v>
      </c>
      <c r="HQ12" s="233">
        <v>984000</v>
      </c>
      <c r="HR12" s="233">
        <v>957500</v>
      </c>
      <c r="HS12" s="233">
        <v>800000</v>
      </c>
      <c r="HT12" s="233">
        <v>530000</v>
      </c>
      <c r="HU12" s="234">
        <v>450000</v>
      </c>
      <c r="IE12" s="233">
        <v>2705500</v>
      </c>
      <c r="IF12" s="233">
        <v>2100000</v>
      </c>
      <c r="IG12" s="233">
        <v>1700000</v>
      </c>
      <c r="IH12" s="233">
        <v>1500000</v>
      </c>
      <c r="II12" s="233">
        <v>1285600</v>
      </c>
      <c r="IJ12" s="233">
        <v>1098000</v>
      </c>
      <c r="IK12" s="233">
        <v>950000</v>
      </c>
      <c r="IL12" s="233">
        <v>750000</v>
      </c>
      <c r="IM12" s="233">
        <v>600000</v>
      </c>
      <c r="IN12" s="234">
        <v>480100</v>
      </c>
      <c r="IO12" s="18"/>
      <c r="IP12" s="18"/>
      <c r="IQ12" s="18"/>
      <c r="IR12" s="18"/>
      <c r="IS12" s="18"/>
      <c r="IT12" s="18"/>
      <c r="IU12" s="18"/>
      <c r="IV12" s="18"/>
    </row>
    <row r="13" spans="1:256" s="233" customFormat="1" ht="16.5" customHeight="1" hidden="1">
      <c r="A13" s="232">
        <v>12</v>
      </c>
      <c r="M13" s="233">
        <v>4000000</v>
      </c>
      <c r="N13" s="233">
        <v>4000000</v>
      </c>
      <c r="O13" s="233">
        <v>3333300</v>
      </c>
      <c r="P13" s="233">
        <v>2700000</v>
      </c>
      <c r="Q13" s="233">
        <v>2000000</v>
      </c>
      <c r="R13" s="233">
        <v>1699000</v>
      </c>
      <c r="S13" s="233">
        <v>1326000</v>
      </c>
      <c r="T13" s="234">
        <v>850000</v>
      </c>
      <c r="AF13" s="233">
        <v>3000000</v>
      </c>
      <c r="AG13" s="233">
        <v>2500000</v>
      </c>
      <c r="AH13" s="233">
        <v>2010200</v>
      </c>
      <c r="AI13" s="233">
        <v>1700000</v>
      </c>
      <c r="AJ13" s="233">
        <v>1350000</v>
      </c>
      <c r="AK13" s="233">
        <v>900000</v>
      </c>
      <c r="AL13" s="233">
        <v>777700</v>
      </c>
      <c r="AM13" s="234">
        <v>400000</v>
      </c>
      <c r="AY13" s="233">
        <v>3000000</v>
      </c>
      <c r="AZ13" s="233">
        <v>2600100</v>
      </c>
      <c r="BA13" s="233">
        <v>2100000</v>
      </c>
      <c r="BB13" s="233">
        <v>1800000</v>
      </c>
      <c r="BC13" s="233">
        <v>1350000</v>
      </c>
      <c r="BD13" s="233">
        <v>1066600</v>
      </c>
      <c r="BE13" s="233">
        <v>800000</v>
      </c>
      <c r="BF13" s="234">
        <v>466600</v>
      </c>
      <c r="BR13" s="233">
        <v>3456700</v>
      </c>
      <c r="BS13" s="233">
        <v>3000000</v>
      </c>
      <c r="BT13" s="233">
        <v>2222200</v>
      </c>
      <c r="BU13" s="233">
        <v>1800000</v>
      </c>
      <c r="BV13" s="233">
        <v>1350000</v>
      </c>
      <c r="BW13" s="233">
        <v>1000000</v>
      </c>
      <c r="BX13" s="233">
        <v>777700</v>
      </c>
      <c r="BY13" s="234">
        <v>488800</v>
      </c>
      <c r="CK13" s="233">
        <v>0</v>
      </c>
      <c r="CL13" s="233">
        <v>2000000</v>
      </c>
      <c r="CM13" s="233">
        <v>1800000</v>
      </c>
      <c r="CN13" s="233">
        <v>1425600</v>
      </c>
      <c r="CO13" s="233">
        <v>1000000</v>
      </c>
      <c r="CP13" s="233">
        <v>900000</v>
      </c>
      <c r="CQ13" s="233">
        <v>650000</v>
      </c>
      <c r="CR13" s="234">
        <v>356700</v>
      </c>
      <c r="DD13" s="233">
        <v>0</v>
      </c>
      <c r="DE13" s="233">
        <v>2100000</v>
      </c>
      <c r="DF13" s="233">
        <v>1798800</v>
      </c>
      <c r="DG13" s="233">
        <v>1400000</v>
      </c>
      <c r="DH13" s="233">
        <v>1099000</v>
      </c>
      <c r="DI13" s="233">
        <v>753400</v>
      </c>
      <c r="DJ13" s="233">
        <v>611100</v>
      </c>
      <c r="DK13" s="234">
        <v>300000</v>
      </c>
      <c r="DL13" s="235"/>
      <c r="DW13" s="233">
        <v>3801700</v>
      </c>
      <c r="DX13" s="233">
        <v>3345400</v>
      </c>
      <c r="DY13" s="233">
        <v>3250000</v>
      </c>
      <c r="DZ13" s="233">
        <v>2700000</v>
      </c>
      <c r="EA13" s="233">
        <v>2472200</v>
      </c>
      <c r="EB13" s="233">
        <v>2222200</v>
      </c>
      <c r="EC13" s="233">
        <v>1777700</v>
      </c>
      <c r="ED13" s="234">
        <v>1199000</v>
      </c>
      <c r="EP13" s="233">
        <v>2600000</v>
      </c>
      <c r="EQ13" s="233">
        <v>2100000</v>
      </c>
      <c r="ER13" s="233">
        <v>1600000</v>
      </c>
      <c r="ES13" s="233">
        <v>1100000</v>
      </c>
      <c r="ET13" s="233">
        <v>860000</v>
      </c>
      <c r="EU13" s="233">
        <v>600000</v>
      </c>
      <c r="EV13" s="233">
        <v>450000</v>
      </c>
      <c r="EW13" s="234">
        <v>280000</v>
      </c>
      <c r="FI13" s="233">
        <v>2078000</v>
      </c>
      <c r="FJ13" s="233">
        <v>1544400</v>
      </c>
      <c r="FK13" s="233">
        <v>1400000</v>
      </c>
      <c r="FL13" s="233">
        <v>1100000</v>
      </c>
      <c r="FM13" s="233">
        <v>799900</v>
      </c>
      <c r="FN13" s="233">
        <v>550000</v>
      </c>
      <c r="FO13" s="233">
        <v>385400</v>
      </c>
      <c r="FP13" s="234">
        <v>209000</v>
      </c>
      <c r="GB13" s="233">
        <v>2222200</v>
      </c>
      <c r="GC13" s="233">
        <v>1750000</v>
      </c>
      <c r="GD13" s="233">
        <v>1350000</v>
      </c>
      <c r="GE13" s="233">
        <v>1000000</v>
      </c>
      <c r="GF13" s="233">
        <v>800000</v>
      </c>
      <c r="GG13" s="233">
        <v>554200</v>
      </c>
      <c r="GH13" s="233">
        <v>420000</v>
      </c>
      <c r="GI13" s="234">
        <v>249000</v>
      </c>
      <c r="GU13" s="233">
        <v>2450000</v>
      </c>
      <c r="GV13" s="233">
        <v>2000000</v>
      </c>
      <c r="GW13" s="233">
        <v>1500000</v>
      </c>
      <c r="GX13" s="233">
        <v>1200000</v>
      </c>
      <c r="GY13" s="233">
        <v>900000</v>
      </c>
      <c r="GZ13" s="233">
        <v>755500</v>
      </c>
      <c r="HA13" s="233">
        <v>445500</v>
      </c>
      <c r="HB13" s="234">
        <v>290000</v>
      </c>
      <c r="HN13" s="233">
        <v>2790000</v>
      </c>
      <c r="HO13" s="233">
        <v>2200000</v>
      </c>
      <c r="HP13" s="233">
        <v>2000000</v>
      </c>
      <c r="HQ13" s="233">
        <v>1670000</v>
      </c>
      <c r="HR13" s="233">
        <v>1350000</v>
      </c>
      <c r="HS13" s="233">
        <v>1202800</v>
      </c>
      <c r="HT13" s="233">
        <v>945300</v>
      </c>
      <c r="HU13" s="234">
        <v>605900</v>
      </c>
      <c r="IG13" s="233">
        <v>0</v>
      </c>
      <c r="IH13" s="233">
        <v>2209000</v>
      </c>
      <c r="II13" s="233">
        <v>1950000</v>
      </c>
      <c r="IJ13" s="233">
        <v>1572400</v>
      </c>
      <c r="IK13" s="233">
        <v>1400000</v>
      </c>
      <c r="IL13" s="233">
        <v>1165800</v>
      </c>
      <c r="IM13" s="233">
        <v>743300</v>
      </c>
      <c r="IN13" s="234">
        <v>667900</v>
      </c>
      <c r="IO13" s="18"/>
      <c r="IP13" s="18"/>
      <c r="IQ13" s="18"/>
      <c r="IR13" s="18"/>
      <c r="IS13" s="18"/>
      <c r="IT13" s="18"/>
      <c r="IU13" s="18"/>
      <c r="IV13" s="18"/>
    </row>
    <row r="14" spans="1:256" s="233" customFormat="1" ht="16.5" customHeight="1" hidden="1">
      <c r="A14" s="232">
        <v>13</v>
      </c>
      <c r="O14" s="233">
        <v>4600000</v>
      </c>
      <c r="P14" s="233">
        <v>4730000</v>
      </c>
      <c r="Q14" s="233">
        <v>4000000</v>
      </c>
      <c r="R14" s="233">
        <v>3000000</v>
      </c>
      <c r="S14" s="233">
        <v>2300000</v>
      </c>
      <c r="T14" s="234">
        <v>1700000</v>
      </c>
      <c r="AH14" s="233">
        <v>3000000</v>
      </c>
      <c r="AI14" s="233">
        <v>2124000</v>
      </c>
      <c r="AJ14" s="233">
        <v>1950000</v>
      </c>
      <c r="AK14" s="233">
        <v>1400000</v>
      </c>
      <c r="AL14" s="233">
        <v>1111100</v>
      </c>
      <c r="AM14" s="234">
        <v>790000</v>
      </c>
      <c r="BA14" s="233">
        <v>3411100</v>
      </c>
      <c r="BB14" s="233">
        <v>2711100</v>
      </c>
      <c r="BC14" s="233">
        <v>2111100</v>
      </c>
      <c r="BD14" s="233">
        <v>1750000</v>
      </c>
      <c r="BE14" s="233">
        <v>1251100</v>
      </c>
      <c r="BF14" s="234">
        <v>710000</v>
      </c>
      <c r="BT14" s="233">
        <v>3480000</v>
      </c>
      <c r="BU14" s="233">
        <v>3200000</v>
      </c>
      <c r="BV14" s="233">
        <v>2300000</v>
      </c>
      <c r="BW14" s="233">
        <v>1737600</v>
      </c>
      <c r="BX14" s="233">
        <v>1200000</v>
      </c>
      <c r="BY14" s="234">
        <v>700000</v>
      </c>
      <c r="CM14" s="233">
        <v>3000000</v>
      </c>
      <c r="CN14" s="233">
        <v>2100000</v>
      </c>
      <c r="CO14" s="233">
        <v>1834500</v>
      </c>
      <c r="CP14" s="233">
        <v>1420000</v>
      </c>
      <c r="CQ14" s="233">
        <v>1023400</v>
      </c>
      <c r="CR14" s="234">
        <v>590800</v>
      </c>
      <c r="DF14" s="233">
        <v>0</v>
      </c>
      <c r="DG14" s="233">
        <v>1900000</v>
      </c>
      <c r="DH14" s="233">
        <v>2000000</v>
      </c>
      <c r="DI14" s="233">
        <v>1111100</v>
      </c>
      <c r="DJ14" s="233">
        <v>988100</v>
      </c>
      <c r="DK14" s="234">
        <v>500000</v>
      </c>
      <c r="DL14" s="235"/>
      <c r="DY14" s="233">
        <v>5000000</v>
      </c>
      <c r="DZ14" s="233">
        <v>3800000</v>
      </c>
      <c r="EA14" s="233">
        <v>3333300</v>
      </c>
      <c r="EB14" s="233">
        <v>3045600</v>
      </c>
      <c r="EC14" s="233">
        <v>2400000</v>
      </c>
      <c r="ED14" s="234">
        <v>1750000</v>
      </c>
      <c r="ER14" s="233">
        <v>2250000</v>
      </c>
      <c r="ES14" s="233">
        <v>1853600</v>
      </c>
      <c r="ET14" s="233">
        <v>1375000</v>
      </c>
      <c r="EU14" s="233">
        <v>1098700</v>
      </c>
      <c r="EV14" s="233">
        <v>777700</v>
      </c>
      <c r="EW14" s="234">
        <v>400000</v>
      </c>
      <c r="FK14" s="233">
        <v>3411100</v>
      </c>
      <c r="FL14" s="233">
        <v>1750000</v>
      </c>
      <c r="FM14" s="233">
        <v>1150500</v>
      </c>
      <c r="FN14" s="233">
        <v>809000</v>
      </c>
      <c r="FO14" s="233">
        <v>500000</v>
      </c>
      <c r="FP14" s="234">
        <v>321500</v>
      </c>
      <c r="GD14" s="233">
        <v>2200000</v>
      </c>
      <c r="GE14" s="233">
        <v>1750000</v>
      </c>
      <c r="GF14" s="233">
        <v>1222200</v>
      </c>
      <c r="GG14" s="233">
        <v>888800</v>
      </c>
      <c r="GH14" s="233">
        <v>650000</v>
      </c>
      <c r="GI14" s="234">
        <v>400000</v>
      </c>
      <c r="GW14" s="233">
        <v>2600000</v>
      </c>
      <c r="GX14" s="233">
        <v>1920500</v>
      </c>
      <c r="GY14" s="233">
        <v>1500000</v>
      </c>
      <c r="GZ14" s="233">
        <v>1265000</v>
      </c>
      <c r="HA14" s="233">
        <v>780000</v>
      </c>
      <c r="HB14" s="234">
        <v>411100</v>
      </c>
      <c r="HP14" s="233">
        <v>2956700</v>
      </c>
      <c r="HQ14" s="233">
        <v>2500000</v>
      </c>
      <c r="HR14" s="233">
        <v>1950000</v>
      </c>
      <c r="HS14" s="233">
        <v>1752100</v>
      </c>
      <c r="HT14" s="233">
        <v>1213000</v>
      </c>
      <c r="HU14" s="234">
        <v>785000</v>
      </c>
      <c r="II14" s="233">
        <v>0</v>
      </c>
      <c r="IJ14" s="233">
        <v>2500000</v>
      </c>
      <c r="IK14" s="233">
        <v>2000000</v>
      </c>
      <c r="IL14" s="233">
        <v>1400000</v>
      </c>
      <c r="IM14" s="233">
        <v>1022300</v>
      </c>
      <c r="IN14" s="234">
        <v>800000</v>
      </c>
      <c r="IO14" s="18"/>
      <c r="IP14" s="18"/>
      <c r="IQ14" s="18"/>
      <c r="IR14" s="18"/>
      <c r="IS14" s="18"/>
      <c r="IT14" s="18"/>
      <c r="IU14" s="18"/>
      <c r="IV14" s="18"/>
    </row>
    <row r="15" spans="1:256" s="233" customFormat="1" ht="16.5" customHeight="1" hidden="1">
      <c r="A15" s="232">
        <v>14</v>
      </c>
      <c r="P15" s="233">
        <v>5000000</v>
      </c>
      <c r="Q15" s="233">
        <v>5001900</v>
      </c>
      <c r="R15" s="233">
        <v>4786700</v>
      </c>
      <c r="S15" s="233">
        <v>3000100</v>
      </c>
      <c r="T15" s="234">
        <v>2666600</v>
      </c>
      <c r="AI15" s="233">
        <v>3000000</v>
      </c>
      <c r="AJ15" s="233">
        <v>2450000</v>
      </c>
      <c r="AK15" s="233">
        <v>1999900</v>
      </c>
      <c r="AL15" s="233">
        <v>1300000</v>
      </c>
      <c r="AM15" s="234">
        <v>1000000</v>
      </c>
      <c r="BB15" s="233">
        <v>0</v>
      </c>
      <c r="BC15" s="233">
        <v>3001000</v>
      </c>
      <c r="BD15" s="233">
        <v>2333300</v>
      </c>
      <c r="BE15" s="233">
        <v>1800000</v>
      </c>
      <c r="BF15" s="234">
        <v>1100000</v>
      </c>
      <c r="BU15" s="233">
        <v>3111100</v>
      </c>
      <c r="BV15" s="233">
        <v>3400000</v>
      </c>
      <c r="BW15" s="233">
        <v>2001000</v>
      </c>
      <c r="BX15" s="233">
        <v>1750000</v>
      </c>
      <c r="BY15" s="234">
        <v>986200</v>
      </c>
      <c r="CN15" s="233">
        <v>3890000</v>
      </c>
      <c r="CO15" s="233">
        <v>3000000</v>
      </c>
      <c r="CP15" s="233">
        <v>1166500</v>
      </c>
      <c r="CQ15" s="233">
        <v>1551000</v>
      </c>
      <c r="CR15" s="234">
        <v>1000800</v>
      </c>
      <c r="DG15" s="233">
        <v>0</v>
      </c>
      <c r="DH15" s="233">
        <v>2800000</v>
      </c>
      <c r="DI15" s="233">
        <v>2600000</v>
      </c>
      <c r="DJ15" s="233">
        <v>1490000</v>
      </c>
      <c r="DK15" s="234">
        <v>810000</v>
      </c>
      <c r="DL15" s="235"/>
      <c r="DZ15" s="233">
        <v>5373200</v>
      </c>
      <c r="EA15" s="233">
        <v>4000000</v>
      </c>
      <c r="EB15" s="233">
        <v>4000000</v>
      </c>
      <c r="EC15" s="233">
        <v>3303800</v>
      </c>
      <c r="ED15" s="234">
        <v>2000900</v>
      </c>
      <c r="ES15" s="233">
        <v>3200000</v>
      </c>
      <c r="ET15" s="233">
        <v>2000000</v>
      </c>
      <c r="EU15" s="233">
        <v>1600000</v>
      </c>
      <c r="EV15" s="233">
        <v>1250000</v>
      </c>
      <c r="EW15" s="234">
        <v>590800</v>
      </c>
      <c r="FL15" s="233">
        <v>2700000</v>
      </c>
      <c r="FM15" s="233">
        <v>1783800</v>
      </c>
      <c r="FN15" s="233">
        <v>1400000</v>
      </c>
      <c r="FO15" s="233">
        <v>1002200</v>
      </c>
      <c r="FP15" s="234">
        <v>399900</v>
      </c>
      <c r="GE15" s="233">
        <v>2351000</v>
      </c>
      <c r="GF15" s="233">
        <v>1723000</v>
      </c>
      <c r="GG15" s="233">
        <v>1500000</v>
      </c>
      <c r="GH15" s="233">
        <v>1000000</v>
      </c>
      <c r="GI15" s="234">
        <v>575000</v>
      </c>
      <c r="GX15" s="233">
        <v>0</v>
      </c>
      <c r="GY15" s="233">
        <v>2250000</v>
      </c>
      <c r="GZ15" s="233">
        <v>1900000</v>
      </c>
      <c r="HA15" s="233">
        <v>1200000</v>
      </c>
      <c r="HB15" s="234">
        <v>700000</v>
      </c>
      <c r="HQ15" s="233">
        <v>3000000</v>
      </c>
      <c r="HR15" s="233">
        <v>2300000</v>
      </c>
      <c r="HS15" s="233">
        <v>2000000</v>
      </c>
      <c r="HT15" s="233">
        <v>1550000</v>
      </c>
      <c r="HU15" s="234">
        <v>1097300</v>
      </c>
      <c r="IJ15" s="233">
        <v>3100000</v>
      </c>
      <c r="IK15" s="233">
        <v>2350000</v>
      </c>
      <c r="IL15" s="233">
        <v>2100000</v>
      </c>
      <c r="IM15" s="233">
        <v>1320000</v>
      </c>
      <c r="IN15" s="234">
        <v>1300000</v>
      </c>
      <c r="IO15" s="18"/>
      <c r="IP15" s="18"/>
      <c r="IQ15" s="18"/>
      <c r="IR15" s="18"/>
      <c r="IS15" s="18"/>
      <c r="IT15" s="18"/>
      <c r="IU15" s="18"/>
      <c r="IV15" s="18"/>
    </row>
    <row r="16" spans="1:256" s="233" customFormat="1" ht="16.5" customHeight="1" hidden="1">
      <c r="A16" s="232">
        <v>15</v>
      </c>
      <c r="Q16" s="233">
        <v>6000100</v>
      </c>
      <c r="R16" s="233">
        <v>5500000</v>
      </c>
      <c r="S16" s="233">
        <v>4001500</v>
      </c>
      <c r="T16" s="234">
        <v>2799900</v>
      </c>
      <c r="AJ16" s="233">
        <v>2620500</v>
      </c>
      <c r="AK16" s="233">
        <v>1800000</v>
      </c>
      <c r="AL16" s="233">
        <v>1700000</v>
      </c>
      <c r="AM16" s="234">
        <v>955000</v>
      </c>
      <c r="BC16" s="233">
        <v>3527700</v>
      </c>
      <c r="BD16" s="233">
        <v>2705000</v>
      </c>
      <c r="BE16" s="233">
        <v>1850000</v>
      </c>
      <c r="BF16" s="234">
        <v>1255500</v>
      </c>
      <c r="BV16" s="233">
        <v>3000000</v>
      </c>
      <c r="BW16" s="233">
        <v>2743000</v>
      </c>
      <c r="BX16" s="233">
        <v>1311100</v>
      </c>
      <c r="BY16" s="234">
        <v>778900</v>
      </c>
      <c r="CO16" s="233">
        <v>2200000</v>
      </c>
      <c r="CP16" s="233">
        <v>2400000</v>
      </c>
      <c r="CQ16" s="233">
        <v>1658000</v>
      </c>
      <c r="CR16" s="234">
        <v>0</v>
      </c>
      <c r="DH16" s="233">
        <v>0</v>
      </c>
      <c r="DI16" s="233">
        <v>0</v>
      </c>
      <c r="DJ16" s="233">
        <v>0</v>
      </c>
      <c r="DK16" s="234">
        <v>1300000</v>
      </c>
      <c r="DL16" s="235"/>
      <c r="EA16" s="233">
        <v>5121000</v>
      </c>
      <c r="EB16" s="233">
        <v>3854600</v>
      </c>
      <c r="EC16" s="233">
        <v>3500000</v>
      </c>
      <c r="ED16" s="234">
        <v>2444400</v>
      </c>
      <c r="ET16" s="233">
        <v>0</v>
      </c>
      <c r="EU16" s="233">
        <v>1980000</v>
      </c>
      <c r="EV16" s="233">
        <v>1200000</v>
      </c>
      <c r="EW16" s="234">
        <v>580000</v>
      </c>
      <c r="FM16" s="233">
        <v>2300000</v>
      </c>
      <c r="FN16" s="233">
        <v>1650900</v>
      </c>
      <c r="FO16" s="233">
        <v>1111100</v>
      </c>
      <c r="FP16" s="234">
        <v>500000</v>
      </c>
      <c r="GF16" s="233">
        <v>1700000</v>
      </c>
      <c r="GG16" s="233">
        <v>1680000</v>
      </c>
      <c r="GH16" s="233">
        <v>900000</v>
      </c>
      <c r="GI16" s="234">
        <v>606000</v>
      </c>
      <c r="GY16" s="233">
        <v>2650000</v>
      </c>
      <c r="GZ16" s="233">
        <v>1899900</v>
      </c>
      <c r="HA16" s="233">
        <v>1944500</v>
      </c>
      <c r="HB16" s="234">
        <v>985800</v>
      </c>
      <c r="HR16" s="233">
        <v>3500000</v>
      </c>
      <c r="HS16" s="233">
        <v>2299700</v>
      </c>
      <c r="HT16" s="233">
        <v>1600000</v>
      </c>
      <c r="HU16" s="234">
        <v>1111100</v>
      </c>
      <c r="IK16" s="233">
        <v>3200000</v>
      </c>
      <c r="IL16" s="233">
        <v>2500000</v>
      </c>
      <c r="IM16" s="233">
        <v>1700000</v>
      </c>
      <c r="IN16" s="234">
        <v>1133400</v>
      </c>
      <c r="IO16" s="18"/>
      <c r="IP16" s="18"/>
      <c r="IQ16" s="18"/>
      <c r="IR16" s="18"/>
      <c r="IS16" s="18"/>
      <c r="IT16" s="18"/>
      <c r="IU16" s="18"/>
      <c r="IV16" s="18"/>
    </row>
    <row r="17" spans="1:256" s="233" customFormat="1" ht="16.5" customHeight="1" hidden="1">
      <c r="A17" s="232">
        <v>16</v>
      </c>
      <c r="S17" s="233">
        <v>4187400</v>
      </c>
      <c r="T17" s="234">
        <v>3000000</v>
      </c>
      <c r="AL17" s="233">
        <v>0</v>
      </c>
      <c r="AM17" s="234">
        <v>813500</v>
      </c>
      <c r="BE17" s="233">
        <v>802100</v>
      </c>
      <c r="BF17" s="234">
        <v>1200000</v>
      </c>
      <c r="BX17" s="233">
        <v>0</v>
      </c>
      <c r="BY17" s="234">
        <v>1200000</v>
      </c>
      <c r="CQ17" s="233">
        <v>1333300</v>
      </c>
      <c r="CR17" s="234">
        <v>800900</v>
      </c>
      <c r="DK17" s="234"/>
      <c r="DL17" s="235"/>
      <c r="EC17" s="233">
        <v>3500000</v>
      </c>
      <c r="ED17" s="234">
        <v>2999900</v>
      </c>
      <c r="EV17" s="233">
        <v>1436900</v>
      </c>
      <c r="EW17" s="234">
        <v>687500</v>
      </c>
      <c r="FO17" s="233">
        <v>1000000</v>
      </c>
      <c r="FP17" s="234">
        <v>600000</v>
      </c>
      <c r="GH17" s="233">
        <v>695000</v>
      </c>
      <c r="GI17" s="234">
        <v>500000</v>
      </c>
      <c r="HA17" s="233">
        <v>888800</v>
      </c>
      <c r="HB17" s="234">
        <v>710000</v>
      </c>
      <c r="HT17" s="233">
        <v>0</v>
      </c>
      <c r="HU17" s="234">
        <v>1300000</v>
      </c>
      <c r="IM17" s="233">
        <v>1678600</v>
      </c>
      <c r="IN17" s="234">
        <v>1300000</v>
      </c>
      <c r="IO17" s="18"/>
      <c r="IP17" s="18"/>
      <c r="IQ17" s="18"/>
      <c r="IR17" s="18"/>
      <c r="IS17" s="18"/>
      <c r="IT17" s="18"/>
      <c r="IU17" s="18"/>
      <c r="IV17" s="18"/>
    </row>
    <row r="18" spans="1:256" s="233" customFormat="1" ht="16.5" customHeight="1" hidden="1">
      <c r="A18" s="232">
        <v>17</v>
      </c>
      <c r="T18" s="234">
        <v>0</v>
      </c>
      <c r="AM18" s="234">
        <v>0</v>
      </c>
      <c r="BF18" s="234">
        <v>0</v>
      </c>
      <c r="BY18" s="234">
        <v>0</v>
      </c>
      <c r="CR18" s="234">
        <v>0</v>
      </c>
      <c r="DK18" s="234">
        <v>0</v>
      </c>
      <c r="DL18" s="236"/>
      <c r="ED18" s="234">
        <v>0</v>
      </c>
      <c r="EW18" s="234">
        <v>0</v>
      </c>
      <c r="FP18" s="234"/>
      <c r="GI18" s="234">
        <v>0</v>
      </c>
      <c r="HB18" s="234"/>
      <c r="HU18" s="234"/>
      <c r="IN18" s="234"/>
      <c r="IO18" s="18"/>
      <c r="IP18" s="18"/>
      <c r="IQ18" s="18"/>
      <c r="IR18" s="18"/>
      <c r="IS18" s="18"/>
      <c r="IT18" s="18"/>
      <c r="IU18" s="18"/>
      <c r="IV18" s="18"/>
    </row>
    <row r="19" spans="1:256" s="233" customFormat="1" ht="16.5" customHeight="1" hidden="1">
      <c r="A19" s="232">
        <v>18</v>
      </c>
      <c r="T19" s="234"/>
      <c r="AM19" s="234"/>
      <c r="BF19" s="234"/>
      <c r="BY19" s="234"/>
      <c r="CR19" s="234"/>
      <c r="DK19" s="234"/>
      <c r="DL19" s="236"/>
      <c r="ED19" s="234"/>
      <c r="EW19" s="234"/>
      <c r="FP19" s="234"/>
      <c r="GI19" s="234"/>
      <c r="HB19" s="234"/>
      <c r="HU19" s="234"/>
      <c r="IN19" s="234"/>
      <c r="IO19" s="18"/>
      <c r="IP19" s="18"/>
      <c r="IQ19" s="18"/>
      <c r="IR19" s="18"/>
      <c r="IS19" s="18"/>
      <c r="IT19" s="18"/>
      <c r="IU19" s="18"/>
      <c r="IV19" s="18"/>
    </row>
    <row r="20" spans="1:256" s="238" customFormat="1" ht="16.5" customHeight="1" hidden="1">
      <c r="A20" s="237">
        <v>19</v>
      </c>
      <c r="T20" s="239"/>
      <c r="AM20" s="239"/>
      <c r="BF20" s="239"/>
      <c r="BY20" s="239"/>
      <c r="CR20" s="239"/>
      <c r="DK20" s="239"/>
      <c r="ED20" s="239"/>
      <c r="EW20" s="239"/>
      <c r="FP20" s="239"/>
      <c r="GI20" s="239"/>
      <c r="HB20" s="239"/>
      <c r="HU20" s="239"/>
      <c r="IN20" s="239"/>
      <c r="IO20" s="18"/>
      <c r="IP20" s="18"/>
      <c r="IQ20" s="18"/>
      <c r="IR20" s="18"/>
      <c r="IS20" s="18"/>
      <c r="IT20" s="18"/>
      <c r="IU20" s="18"/>
      <c r="IV20" s="18"/>
    </row>
    <row r="21" ht="16.5" customHeight="1" hidden="1"/>
    <row r="22" ht="16.5" customHeight="1" hidden="1">
      <c r="U22" s="18" t="s">
        <v>79</v>
      </c>
    </row>
    <row r="23" spans="21:116" ht="16.5" customHeight="1" hidden="1">
      <c r="U23" s="231">
        <v>17</v>
      </c>
      <c r="V23" s="229">
        <v>18</v>
      </c>
      <c r="W23" s="229">
        <v>19</v>
      </c>
      <c r="X23" s="229">
        <v>20</v>
      </c>
      <c r="Y23" s="229">
        <v>21</v>
      </c>
      <c r="Z23" s="229">
        <v>22</v>
      </c>
      <c r="AA23" s="229">
        <v>23</v>
      </c>
      <c r="AB23" s="229">
        <v>24</v>
      </c>
      <c r="AC23" s="229">
        <v>25</v>
      </c>
      <c r="AD23" s="229">
        <v>26</v>
      </c>
      <c r="AE23" s="229">
        <v>27</v>
      </c>
      <c r="AF23" s="229">
        <v>28</v>
      </c>
      <c r="AG23" s="229">
        <v>29</v>
      </c>
      <c r="AH23" s="229">
        <v>30</v>
      </c>
      <c r="AI23" s="229">
        <v>31</v>
      </c>
      <c r="AJ23" s="229">
        <v>32</v>
      </c>
      <c r="AK23" s="229">
        <v>33</v>
      </c>
      <c r="AL23" s="229">
        <v>34</v>
      </c>
      <c r="AM23" s="230">
        <v>35</v>
      </c>
      <c r="AN23" s="62"/>
      <c r="DL23" s="18" t="s">
        <v>73</v>
      </c>
    </row>
    <row r="24" spans="2:134" ht="16.5" customHeight="1" hidden="1">
      <c r="B24" s="226" t="s">
        <v>31</v>
      </c>
      <c r="C24" s="226" t="s">
        <v>32</v>
      </c>
      <c r="D24" s="226" t="s">
        <v>34</v>
      </c>
      <c r="E24" s="226" t="s">
        <v>82</v>
      </c>
      <c r="G24" s="240" t="s">
        <v>31</v>
      </c>
      <c r="H24" s="241" t="s">
        <v>66</v>
      </c>
      <c r="U24" s="235"/>
      <c r="V24" s="233">
        <v>50006</v>
      </c>
      <c r="W24" s="233">
        <v>17989</v>
      </c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>
        <v>0</v>
      </c>
      <c r="AJ24" s="233">
        <v>0</v>
      </c>
      <c r="AK24" s="233">
        <v>0</v>
      </c>
      <c r="AL24" s="233">
        <v>0</v>
      </c>
      <c r="AM24" s="234">
        <v>0</v>
      </c>
      <c r="AN24" s="62"/>
      <c r="DL24" s="229">
        <v>17</v>
      </c>
      <c r="DM24" s="229">
        <v>18</v>
      </c>
      <c r="DN24" s="229">
        <v>19</v>
      </c>
      <c r="DO24" s="229">
        <v>20</v>
      </c>
      <c r="DP24" s="229">
        <v>21</v>
      </c>
      <c r="DQ24" s="229">
        <v>22</v>
      </c>
      <c r="DR24" s="229">
        <v>23</v>
      </c>
      <c r="DS24" s="229">
        <v>24</v>
      </c>
      <c r="DT24" s="229">
        <v>25</v>
      </c>
      <c r="DU24" s="229">
        <v>26</v>
      </c>
      <c r="DV24" s="229">
        <v>27</v>
      </c>
      <c r="DW24" s="229">
        <v>28</v>
      </c>
      <c r="DX24" s="229">
        <v>29</v>
      </c>
      <c r="DY24" s="229">
        <v>30</v>
      </c>
      <c r="DZ24" s="229">
        <v>31</v>
      </c>
      <c r="EA24" s="229">
        <v>32</v>
      </c>
      <c r="EB24" s="229">
        <v>33</v>
      </c>
      <c r="EC24" s="229">
        <v>34</v>
      </c>
      <c r="ED24" s="230">
        <v>35</v>
      </c>
    </row>
    <row r="25" spans="2:134" ht="16.5" customHeight="1" hidden="1">
      <c r="B25" s="226" t="s">
        <v>70</v>
      </c>
      <c r="C25" s="226">
        <v>34</v>
      </c>
      <c r="D25" s="226">
        <v>9</v>
      </c>
      <c r="E25" s="109">
        <f>INDEX($A:$XFD,D25+1,VLOOKUP(B25,Offsets,2,FALSE)+C25-17)</f>
        <v>169000</v>
      </c>
      <c r="G25" s="18" t="s">
        <v>67</v>
      </c>
      <c r="H25" s="18">
        <v>2</v>
      </c>
      <c r="U25" s="235"/>
      <c r="V25" s="233">
        <v>121114</v>
      </c>
      <c r="W25" s="233">
        <v>50002</v>
      </c>
      <c r="X25" s="233">
        <v>30001</v>
      </c>
      <c r="Y25" s="233">
        <v>22002</v>
      </c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4">
        <v>0</v>
      </c>
      <c r="AN25" s="62"/>
      <c r="DL25" s="233"/>
      <c r="DM25" s="233">
        <v>18001</v>
      </c>
      <c r="DN25" s="233"/>
      <c r="DO25" s="233"/>
      <c r="DP25" s="233"/>
      <c r="DQ25" s="233"/>
      <c r="DR25" s="233"/>
      <c r="DS25" s="233"/>
      <c r="DT25" s="233"/>
      <c r="DU25" s="233"/>
      <c r="DV25" s="233"/>
      <c r="DW25" s="233"/>
      <c r="DX25" s="233">
        <v>0</v>
      </c>
      <c r="DY25" s="233">
        <v>0</v>
      </c>
      <c r="DZ25" s="233">
        <v>0</v>
      </c>
      <c r="EA25" s="233">
        <v>0</v>
      </c>
      <c r="EB25" s="233">
        <v>0</v>
      </c>
      <c r="EC25" s="233">
        <v>0</v>
      </c>
      <c r="ED25" s="234">
        <v>0</v>
      </c>
    </row>
    <row r="26" spans="7:134" ht="16.5" customHeight="1" hidden="1">
      <c r="G26" s="18" t="s">
        <v>68</v>
      </c>
      <c r="H26" s="18">
        <v>21</v>
      </c>
      <c r="U26" s="235"/>
      <c r="V26" s="233">
        <v>223567</v>
      </c>
      <c r="W26" s="233">
        <v>95000</v>
      </c>
      <c r="X26" s="233">
        <v>60001</v>
      </c>
      <c r="Y26" s="233">
        <v>50352</v>
      </c>
      <c r="Z26" s="233">
        <v>50001</v>
      </c>
      <c r="AA26" s="233">
        <v>45004</v>
      </c>
      <c r="AB26" s="233">
        <v>40004</v>
      </c>
      <c r="AC26" s="233">
        <v>20022</v>
      </c>
      <c r="AD26" s="233">
        <v>20750</v>
      </c>
      <c r="AE26" s="233">
        <v>15000</v>
      </c>
      <c r="AF26" s="233"/>
      <c r="AG26" s="233"/>
      <c r="AH26" s="233"/>
      <c r="AI26" s="233"/>
      <c r="AJ26" s="233"/>
      <c r="AK26" s="233"/>
      <c r="AL26" s="233"/>
      <c r="AM26" s="234">
        <v>0</v>
      </c>
      <c r="AN26" s="62"/>
      <c r="DL26" s="233"/>
      <c r="DM26" s="233">
        <v>40001</v>
      </c>
      <c r="DN26" s="233">
        <v>15001</v>
      </c>
      <c r="DO26" s="233">
        <v>10001</v>
      </c>
      <c r="DP26" s="233"/>
      <c r="DQ26" s="233"/>
      <c r="DR26" s="233"/>
      <c r="DS26" s="233"/>
      <c r="DT26" s="233"/>
      <c r="DU26" s="233"/>
      <c r="DV26" s="233"/>
      <c r="DW26" s="233"/>
      <c r="DX26" s="233"/>
      <c r="DY26" s="233"/>
      <c r="DZ26" s="233"/>
      <c r="EA26" s="233">
        <v>0</v>
      </c>
      <c r="EB26" s="233">
        <v>0</v>
      </c>
      <c r="EC26" s="233">
        <v>0</v>
      </c>
      <c r="ED26" s="234">
        <v>0</v>
      </c>
    </row>
    <row r="27" spans="7:134" ht="16.5" customHeight="1" hidden="1">
      <c r="G27" s="18" t="s">
        <v>69</v>
      </c>
      <c r="H27" s="18">
        <v>40</v>
      </c>
      <c r="U27" s="235"/>
      <c r="V27" s="233">
        <v>459001</v>
      </c>
      <c r="W27" s="233">
        <v>200001</v>
      </c>
      <c r="X27" s="233">
        <v>150001</v>
      </c>
      <c r="Y27" s="233">
        <v>125001</v>
      </c>
      <c r="Z27" s="233">
        <v>150001</v>
      </c>
      <c r="AA27" s="233">
        <v>150000</v>
      </c>
      <c r="AB27" s="233">
        <v>120001</v>
      </c>
      <c r="AC27" s="233">
        <v>120001</v>
      </c>
      <c r="AD27" s="233">
        <v>100000</v>
      </c>
      <c r="AE27" s="233">
        <v>99001</v>
      </c>
      <c r="AF27" s="233">
        <v>70001</v>
      </c>
      <c r="AG27" s="233">
        <v>77777</v>
      </c>
      <c r="AH27" s="233">
        <v>51001</v>
      </c>
      <c r="AI27" s="233">
        <v>51001</v>
      </c>
      <c r="AJ27" s="233">
        <v>48001</v>
      </c>
      <c r="AK27" s="233">
        <v>40002</v>
      </c>
      <c r="AL27" s="233">
        <v>36000</v>
      </c>
      <c r="AM27" s="234">
        <v>30001</v>
      </c>
      <c r="AN27" s="62"/>
      <c r="DL27" s="233"/>
      <c r="DM27" s="233">
        <v>120000</v>
      </c>
      <c r="DN27" s="233">
        <v>45001</v>
      </c>
      <c r="DO27" s="233">
        <v>30000</v>
      </c>
      <c r="DP27" s="233">
        <v>30001</v>
      </c>
      <c r="DQ27" s="233">
        <v>22000</v>
      </c>
      <c r="DR27" s="233">
        <v>10002</v>
      </c>
      <c r="DS27" s="233">
        <v>12361</v>
      </c>
      <c r="DT27" s="233">
        <v>5003</v>
      </c>
      <c r="DU27" s="233"/>
      <c r="DV27" s="233"/>
      <c r="DW27" s="233"/>
      <c r="DX27" s="233"/>
      <c r="DY27" s="233"/>
      <c r="DZ27" s="233"/>
      <c r="EA27" s="233"/>
      <c r="EB27" s="233"/>
      <c r="EC27" s="233"/>
      <c r="ED27" s="234">
        <v>0</v>
      </c>
    </row>
    <row r="28" spans="7:134" ht="16.5" customHeight="1" hidden="1">
      <c r="G28" s="18" t="s">
        <v>70</v>
      </c>
      <c r="H28" s="18">
        <v>59</v>
      </c>
      <c r="U28" s="235"/>
      <c r="V28" s="233">
        <v>1139565</v>
      </c>
      <c r="W28" s="233">
        <v>500001</v>
      </c>
      <c r="X28" s="233">
        <v>355233</v>
      </c>
      <c r="Y28" s="233">
        <v>300000</v>
      </c>
      <c r="Z28" s="233">
        <v>290001</v>
      </c>
      <c r="AA28" s="233">
        <v>265001</v>
      </c>
      <c r="AB28" s="233">
        <v>240001</v>
      </c>
      <c r="AC28" s="233">
        <v>230001</v>
      </c>
      <c r="AD28" s="233">
        <v>244496</v>
      </c>
      <c r="AE28" s="233">
        <v>222223</v>
      </c>
      <c r="AF28" s="233">
        <v>200000</v>
      </c>
      <c r="AG28" s="233">
        <v>200551</v>
      </c>
      <c r="AH28" s="233">
        <v>200001</v>
      </c>
      <c r="AI28" s="233">
        <v>160001</v>
      </c>
      <c r="AJ28" s="233">
        <v>156001</v>
      </c>
      <c r="AK28" s="233">
        <v>150001</v>
      </c>
      <c r="AL28" s="233">
        <v>125000</v>
      </c>
      <c r="AM28" s="234">
        <v>100000</v>
      </c>
      <c r="AN28" s="62"/>
      <c r="DL28" s="233"/>
      <c r="DM28" s="233">
        <v>325001</v>
      </c>
      <c r="DN28" s="233">
        <v>123001</v>
      </c>
      <c r="DO28" s="233">
        <v>100000</v>
      </c>
      <c r="DP28" s="233">
        <v>75001</v>
      </c>
      <c r="DQ28" s="233">
        <v>69868</v>
      </c>
      <c r="DR28" s="233">
        <v>70002</v>
      </c>
      <c r="DS28" s="233">
        <v>60000</v>
      </c>
      <c r="DT28" s="233">
        <v>50000</v>
      </c>
      <c r="DU28" s="233">
        <v>39003</v>
      </c>
      <c r="DV28" s="233">
        <v>30001</v>
      </c>
      <c r="DW28" s="233">
        <v>30000</v>
      </c>
      <c r="DX28" s="233">
        <v>20000</v>
      </c>
      <c r="DY28" s="233">
        <v>10556</v>
      </c>
      <c r="DZ28" s="233">
        <v>7601</v>
      </c>
      <c r="EA28" s="233"/>
      <c r="EB28" s="233"/>
      <c r="EC28" s="233"/>
      <c r="ED28" s="234"/>
    </row>
    <row r="29" spans="7:134" ht="16.5" customHeight="1" hidden="1">
      <c r="G29" s="18" t="s">
        <v>71</v>
      </c>
      <c r="H29" s="18">
        <v>78</v>
      </c>
      <c r="U29" s="235"/>
      <c r="V29" s="233"/>
      <c r="W29" s="233">
        <v>1500000</v>
      </c>
      <c r="X29" s="233">
        <v>800001</v>
      </c>
      <c r="Y29" s="233">
        <v>600000</v>
      </c>
      <c r="Z29" s="233">
        <v>450000</v>
      </c>
      <c r="AA29" s="233">
        <v>421200</v>
      </c>
      <c r="AB29" s="233">
        <v>430001</v>
      </c>
      <c r="AC29" s="233">
        <v>399002</v>
      </c>
      <c r="AD29" s="233">
        <v>310001</v>
      </c>
      <c r="AE29" s="233">
        <v>372000</v>
      </c>
      <c r="AF29" s="233">
        <v>324786</v>
      </c>
      <c r="AG29" s="233">
        <v>329999</v>
      </c>
      <c r="AH29" s="233">
        <v>300000</v>
      </c>
      <c r="AI29" s="233">
        <v>290001</v>
      </c>
      <c r="AJ29" s="233">
        <v>276000</v>
      </c>
      <c r="AK29" s="233">
        <v>240001</v>
      </c>
      <c r="AL29" s="233">
        <v>220001</v>
      </c>
      <c r="AM29" s="234">
        <v>171000</v>
      </c>
      <c r="AN29" s="62"/>
      <c r="DL29" s="233"/>
      <c r="DM29" s="233">
        <v>1100001</v>
      </c>
      <c r="DN29" s="233">
        <v>452006</v>
      </c>
      <c r="DO29" s="233">
        <v>200001</v>
      </c>
      <c r="DP29" s="233">
        <v>150001</v>
      </c>
      <c r="DQ29" s="233">
        <v>129999</v>
      </c>
      <c r="DR29" s="233">
        <v>125001</v>
      </c>
      <c r="DS29" s="233">
        <v>75001</v>
      </c>
      <c r="DT29" s="233">
        <v>60001</v>
      </c>
      <c r="DU29" s="233">
        <v>70001</v>
      </c>
      <c r="DV29" s="233">
        <v>79001</v>
      </c>
      <c r="DW29" s="233">
        <v>80100</v>
      </c>
      <c r="DX29" s="233">
        <v>70001</v>
      </c>
      <c r="DY29" s="233">
        <v>50001</v>
      </c>
      <c r="DZ29" s="233">
        <v>26452</v>
      </c>
      <c r="EA29" s="233">
        <v>37001</v>
      </c>
      <c r="EB29" s="233">
        <v>23000</v>
      </c>
      <c r="EC29" s="233">
        <v>17000</v>
      </c>
      <c r="ED29" s="234">
        <v>10003</v>
      </c>
    </row>
    <row r="30" spans="7:134" ht="16.5" customHeight="1" hidden="1">
      <c r="G30" s="18" t="s">
        <v>72</v>
      </c>
      <c r="H30" s="18">
        <v>97</v>
      </c>
      <c r="U30" s="235"/>
      <c r="V30" s="233">
        <v>0</v>
      </c>
      <c r="W30" s="233">
        <v>0</v>
      </c>
      <c r="X30" s="233">
        <v>1886563</v>
      </c>
      <c r="Y30" s="233">
        <v>1251234</v>
      </c>
      <c r="Z30" s="233">
        <v>920003</v>
      </c>
      <c r="AA30" s="233">
        <v>800002</v>
      </c>
      <c r="AB30" s="233">
        <v>675001</v>
      </c>
      <c r="AC30" s="233">
        <v>560039</v>
      </c>
      <c r="AD30" s="233">
        <v>515001</v>
      </c>
      <c r="AE30" s="233">
        <v>475826</v>
      </c>
      <c r="AF30" s="233">
        <v>460001</v>
      </c>
      <c r="AG30" s="233">
        <v>400001</v>
      </c>
      <c r="AH30" s="233">
        <v>440007</v>
      </c>
      <c r="AI30" s="233">
        <v>400001</v>
      </c>
      <c r="AJ30" s="233">
        <v>376005</v>
      </c>
      <c r="AK30" s="233">
        <v>386859</v>
      </c>
      <c r="AL30" s="233">
        <v>341000</v>
      </c>
      <c r="AM30" s="234">
        <v>250003</v>
      </c>
      <c r="AN30" s="62"/>
      <c r="DL30" s="233"/>
      <c r="DM30" s="233">
        <v>0</v>
      </c>
      <c r="DN30" s="233">
        <v>1500001</v>
      </c>
      <c r="DO30" s="233">
        <v>600001</v>
      </c>
      <c r="DP30" s="233">
        <v>420000</v>
      </c>
      <c r="DQ30" s="233">
        <v>285001</v>
      </c>
      <c r="DR30" s="233">
        <v>200789</v>
      </c>
      <c r="DS30" s="233">
        <v>190001</v>
      </c>
      <c r="DT30" s="233">
        <v>190001</v>
      </c>
      <c r="DU30" s="233">
        <v>165002</v>
      </c>
      <c r="DV30" s="233">
        <v>150001</v>
      </c>
      <c r="DW30" s="233">
        <v>115001</v>
      </c>
      <c r="DX30" s="233">
        <v>140001</v>
      </c>
      <c r="DY30" s="233">
        <v>110000</v>
      </c>
      <c r="DZ30" s="233">
        <v>70001</v>
      </c>
      <c r="EA30" s="233">
        <v>42001</v>
      </c>
      <c r="EB30" s="233">
        <v>60001</v>
      </c>
      <c r="EC30" s="233">
        <v>50000</v>
      </c>
      <c r="ED30" s="234">
        <v>43334</v>
      </c>
    </row>
    <row r="31" spans="7:134" ht="16.5" customHeight="1" hidden="1">
      <c r="G31" s="18" t="s">
        <v>79</v>
      </c>
      <c r="H31" s="18">
        <v>116</v>
      </c>
      <c r="U31" s="235"/>
      <c r="V31" s="233">
        <v>0</v>
      </c>
      <c r="W31" s="233">
        <v>0</v>
      </c>
      <c r="X31" s="233">
        <v>0</v>
      </c>
      <c r="Y31" s="233">
        <v>2500000</v>
      </c>
      <c r="Z31" s="233">
        <v>1600003</v>
      </c>
      <c r="AA31" s="233">
        <v>1400001</v>
      </c>
      <c r="AB31" s="233">
        <v>1200001</v>
      </c>
      <c r="AC31" s="233">
        <v>888889</v>
      </c>
      <c r="AD31" s="233">
        <v>760000</v>
      </c>
      <c r="AE31" s="233">
        <v>750000</v>
      </c>
      <c r="AF31" s="233">
        <v>689999</v>
      </c>
      <c r="AG31" s="233">
        <v>600001</v>
      </c>
      <c r="AH31" s="233">
        <v>550102</v>
      </c>
      <c r="AI31" s="233">
        <v>500001</v>
      </c>
      <c r="AJ31" s="233">
        <v>500153</v>
      </c>
      <c r="AK31" s="233">
        <v>400002</v>
      </c>
      <c r="AL31" s="233">
        <v>406000</v>
      </c>
      <c r="AM31" s="234">
        <v>345001</v>
      </c>
      <c r="AN31" s="62"/>
      <c r="DL31" s="233"/>
      <c r="DM31" s="233">
        <v>0</v>
      </c>
      <c r="DN31" s="233">
        <v>0</v>
      </c>
      <c r="DO31" s="233"/>
      <c r="DP31" s="233">
        <v>0</v>
      </c>
      <c r="DQ31" s="233">
        <v>0</v>
      </c>
      <c r="DR31" s="233">
        <v>500000</v>
      </c>
      <c r="DS31" s="233">
        <v>360002</v>
      </c>
      <c r="DT31" s="233">
        <v>262660</v>
      </c>
      <c r="DU31" s="233">
        <v>239001</v>
      </c>
      <c r="DV31" s="233">
        <v>195001</v>
      </c>
      <c r="DW31" s="233">
        <v>180124</v>
      </c>
      <c r="DX31" s="233">
        <v>195001</v>
      </c>
      <c r="DY31" s="233">
        <v>198001</v>
      </c>
      <c r="DZ31" s="233">
        <v>160000</v>
      </c>
      <c r="EA31" s="233">
        <v>120003</v>
      </c>
      <c r="EB31" s="233">
        <v>100001</v>
      </c>
      <c r="EC31" s="233">
        <v>109003</v>
      </c>
      <c r="ED31" s="234">
        <v>50000</v>
      </c>
    </row>
    <row r="32" spans="7:134" ht="16.5" customHeight="1" hidden="1">
      <c r="G32" s="18" t="s">
        <v>74</v>
      </c>
      <c r="H32" s="18">
        <v>135</v>
      </c>
      <c r="U32" s="235"/>
      <c r="V32" s="233">
        <v>0</v>
      </c>
      <c r="W32" s="233">
        <v>0</v>
      </c>
      <c r="X32" s="233">
        <v>0</v>
      </c>
      <c r="Y32" s="233">
        <v>3100014</v>
      </c>
      <c r="Z32" s="233">
        <v>3559367</v>
      </c>
      <c r="AA32" s="233">
        <v>2300000</v>
      </c>
      <c r="AB32" s="233">
        <v>2150000</v>
      </c>
      <c r="AC32" s="233">
        <v>1930000</v>
      </c>
      <c r="AD32" s="233">
        <v>1100014</v>
      </c>
      <c r="AE32" s="233">
        <v>1200847</v>
      </c>
      <c r="AF32" s="233">
        <v>1100000</v>
      </c>
      <c r="AG32" s="233">
        <v>950000</v>
      </c>
      <c r="AH32" s="233">
        <v>850001</v>
      </c>
      <c r="AI32" s="233">
        <v>722001</v>
      </c>
      <c r="AJ32" s="233">
        <v>706634</v>
      </c>
      <c r="AK32" s="233">
        <v>600002</v>
      </c>
      <c r="AL32" s="233">
        <v>600000</v>
      </c>
      <c r="AM32" s="234">
        <v>485475</v>
      </c>
      <c r="AN32" s="62"/>
      <c r="DL32" s="233"/>
      <c r="DM32" s="233">
        <v>0</v>
      </c>
      <c r="DN32" s="233">
        <v>0</v>
      </c>
      <c r="DO32" s="233">
        <v>0</v>
      </c>
      <c r="DP32" s="233"/>
      <c r="DQ32" s="233"/>
      <c r="DR32" s="233"/>
      <c r="DS32" s="233">
        <v>699001</v>
      </c>
      <c r="DT32" s="233">
        <v>400003</v>
      </c>
      <c r="DU32" s="233">
        <v>450001</v>
      </c>
      <c r="DV32" s="233">
        <v>300003</v>
      </c>
      <c r="DW32" s="233">
        <v>285001</v>
      </c>
      <c r="DX32" s="233">
        <v>255001</v>
      </c>
      <c r="DY32" s="233">
        <v>250003</v>
      </c>
      <c r="DZ32" s="233">
        <v>203333</v>
      </c>
      <c r="EA32" s="233">
        <v>150001</v>
      </c>
      <c r="EB32" s="233">
        <v>200001</v>
      </c>
      <c r="EC32" s="233">
        <v>160001</v>
      </c>
      <c r="ED32" s="234">
        <v>83475</v>
      </c>
    </row>
    <row r="33" spans="7:134" ht="16.5" customHeight="1" hidden="1">
      <c r="G33" s="18" t="s">
        <v>75</v>
      </c>
      <c r="H33" s="18">
        <v>154</v>
      </c>
      <c r="U33" s="235"/>
      <c r="V33" s="233">
        <v>0</v>
      </c>
      <c r="W33" s="233">
        <v>0</v>
      </c>
      <c r="X33" s="233">
        <v>0</v>
      </c>
      <c r="Y33" s="233">
        <v>0</v>
      </c>
      <c r="Z33" s="233">
        <v>0</v>
      </c>
      <c r="AA33" s="233"/>
      <c r="AB33" s="233">
        <v>3000001</v>
      </c>
      <c r="AC33" s="233">
        <v>2460001</v>
      </c>
      <c r="AD33" s="233">
        <v>1990001</v>
      </c>
      <c r="AE33" s="233">
        <v>1970000</v>
      </c>
      <c r="AF33" s="233">
        <v>1958483</v>
      </c>
      <c r="AG33" s="233">
        <v>1400000</v>
      </c>
      <c r="AH33" s="233">
        <v>1200001</v>
      </c>
      <c r="AI33" s="233">
        <v>1111132</v>
      </c>
      <c r="AJ33" s="233">
        <v>1000002</v>
      </c>
      <c r="AK33" s="233">
        <v>896001</v>
      </c>
      <c r="AL33" s="233">
        <v>749659</v>
      </c>
      <c r="AM33" s="234">
        <v>485475</v>
      </c>
      <c r="AN33" s="62"/>
      <c r="DL33" s="233"/>
      <c r="DM33" s="233">
        <v>0</v>
      </c>
      <c r="DN33" s="233">
        <v>0</v>
      </c>
      <c r="DO33" s="233">
        <v>0</v>
      </c>
      <c r="DP33" s="233">
        <v>0</v>
      </c>
      <c r="DQ33" s="233">
        <v>0</v>
      </c>
      <c r="DR33" s="233">
        <v>0</v>
      </c>
      <c r="DS33" s="233">
        <v>0</v>
      </c>
      <c r="DT33" s="233">
        <v>0</v>
      </c>
      <c r="DU33" s="233">
        <v>0</v>
      </c>
      <c r="DV33" s="233">
        <v>593567</v>
      </c>
      <c r="DW33" s="233">
        <v>550000</v>
      </c>
      <c r="DX33" s="233">
        <v>505595</v>
      </c>
      <c r="DY33" s="233">
        <v>400001</v>
      </c>
      <c r="DZ33" s="233">
        <v>275006</v>
      </c>
      <c r="EA33" s="233">
        <v>330001</v>
      </c>
      <c r="EB33" s="233">
        <v>333334</v>
      </c>
      <c r="EC33" s="233">
        <v>248001</v>
      </c>
      <c r="ED33" s="234">
        <v>180003</v>
      </c>
    </row>
    <row r="34" spans="7:134" ht="16.5" customHeight="1" hidden="1">
      <c r="G34" s="18" t="s">
        <v>76</v>
      </c>
      <c r="H34" s="18">
        <v>173</v>
      </c>
      <c r="U34" s="235"/>
      <c r="V34" s="233">
        <v>0</v>
      </c>
      <c r="W34" s="233">
        <v>0</v>
      </c>
      <c r="X34" s="233">
        <v>0</v>
      </c>
      <c r="Y34" s="233">
        <v>0</v>
      </c>
      <c r="Z34" s="233">
        <v>0</v>
      </c>
      <c r="AA34" s="233">
        <v>0</v>
      </c>
      <c r="AB34" s="233">
        <v>0</v>
      </c>
      <c r="AC34" s="233">
        <v>4185737</v>
      </c>
      <c r="AD34" s="233">
        <v>3459999</v>
      </c>
      <c r="AE34" s="233">
        <v>3555556</v>
      </c>
      <c r="AF34" s="233">
        <v>2740604</v>
      </c>
      <c r="AG34" s="233">
        <v>2551004</v>
      </c>
      <c r="AH34" s="233">
        <v>2076279</v>
      </c>
      <c r="AI34" s="233">
        <v>1800000</v>
      </c>
      <c r="AJ34" s="233">
        <v>1405988</v>
      </c>
      <c r="AK34" s="233">
        <v>1120435</v>
      </c>
      <c r="AL34" s="233">
        <v>1100001</v>
      </c>
      <c r="AM34" s="234">
        <v>760010</v>
      </c>
      <c r="AN34" s="62"/>
      <c r="DL34" s="233"/>
      <c r="DM34" s="233">
        <v>0</v>
      </c>
      <c r="DN34" s="233">
        <v>0</v>
      </c>
      <c r="DO34" s="233">
        <v>0</v>
      </c>
      <c r="DP34" s="233">
        <v>0</v>
      </c>
      <c r="DQ34" s="233">
        <v>0</v>
      </c>
      <c r="DR34" s="233">
        <v>0</v>
      </c>
      <c r="DS34" s="233">
        <v>0</v>
      </c>
      <c r="DT34" s="233">
        <v>0</v>
      </c>
      <c r="DU34" s="233">
        <v>0</v>
      </c>
      <c r="DV34" s="233"/>
      <c r="DW34" s="233">
        <v>0</v>
      </c>
      <c r="DX34" s="233"/>
      <c r="DY34" s="233"/>
      <c r="DZ34" s="233">
        <v>685556</v>
      </c>
      <c r="EA34" s="233">
        <v>549124</v>
      </c>
      <c r="EB34" s="233">
        <v>488001</v>
      </c>
      <c r="EC34" s="233">
        <v>328000</v>
      </c>
      <c r="ED34" s="234">
        <v>222223</v>
      </c>
    </row>
    <row r="35" spans="7:134" ht="16.5" customHeight="1" hidden="1">
      <c r="G35" s="18" t="s">
        <v>77</v>
      </c>
      <c r="H35" s="18">
        <v>192</v>
      </c>
      <c r="U35" s="235"/>
      <c r="V35" s="233">
        <v>0</v>
      </c>
      <c r="W35" s="233">
        <v>0</v>
      </c>
      <c r="X35" s="233">
        <v>0</v>
      </c>
      <c r="Y35" s="233">
        <v>0</v>
      </c>
      <c r="Z35" s="233">
        <v>0</v>
      </c>
      <c r="AA35" s="233">
        <v>0</v>
      </c>
      <c r="AB35" s="233">
        <v>0</v>
      </c>
      <c r="AC35" s="233">
        <v>0</v>
      </c>
      <c r="AD35" s="233"/>
      <c r="AE35" s="233">
        <v>4253696</v>
      </c>
      <c r="AF35" s="233">
        <v>3526543</v>
      </c>
      <c r="AG35" s="233">
        <v>3300000</v>
      </c>
      <c r="AH35" s="233">
        <v>3100001</v>
      </c>
      <c r="AI35" s="233">
        <v>2800005</v>
      </c>
      <c r="AJ35" s="233">
        <v>2000002</v>
      </c>
      <c r="AK35" s="233">
        <v>1600051</v>
      </c>
      <c r="AL35" s="233">
        <v>1390001</v>
      </c>
      <c r="AM35" s="234">
        <v>1000001</v>
      </c>
      <c r="AN35" s="62"/>
      <c r="DL35" s="233"/>
      <c r="DM35" s="233">
        <v>0</v>
      </c>
      <c r="DN35" s="233">
        <v>0</v>
      </c>
      <c r="DO35" s="233">
        <v>0</v>
      </c>
      <c r="DP35" s="233">
        <v>0</v>
      </c>
      <c r="DQ35" s="233">
        <v>0</v>
      </c>
      <c r="DR35" s="233">
        <v>0</v>
      </c>
      <c r="DS35" s="233">
        <v>0</v>
      </c>
      <c r="DT35" s="233">
        <v>0</v>
      </c>
      <c r="DU35" s="233">
        <v>0</v>
      </c>
      <c r="DV35" s="233"/>
      <c r="DW35" s="233">
        <v>0</v>
      </c>
      <c r="DX35" s="233"/>
      <c r="DY35" s="233"/>
      <c r="DZ35" s="233"/>
      <c r="EA35" s="233"/>
      <c r="EB35" s="233">
        <v>900002</v>
      </c>
      <c r="EC35" s="233">
        <v>700000</v>
      </c>
      <c r="ED35" s="234">
        <v>400002</v>
      </c>
    </row>
    <row r="36" spans="7:134" ht="16.5" customHeight="1" hidden="1">
      <c r="G36" s="18" t="s">
        <v>78</v>
      </c>
      <c r="H36" s="18">
        <v>211</v>
      </c>
      <c r="U36" s="235"/>
      <c r="V36" s="233">
        <v>0</v>
      </c>
      <c r="W36" s="233">
        <v>0</v>
      </c>
      <c r="X36" s="233">
        <v>0</v>
      </c>
      <c r="Y36" s="233">
        <v>0</v>
      </c>
      <c r="Z36" s="233">
        <v>0</v>
      </c>
      <c r="AA36" s="233">
        <v>0</v>
      </c>
      <c r="AB36" s="233">
        <v>0</v>
      </c>
      <c r="AC36" s="233">
        <v>0</v>
      </c>
      <c r="AD36" s="233">
        <v>0</v>
      </c>
      <c r="AE36" s="233"/>
      <c r="AF36" s="233"/>
      <c r="AG36" s="233"/>
      <c r="AH36" s="233"/>
      <c r="AI36" s="233">
        <v>0</v>
      </c>
      <c r="AJ36" s="233">
        <v>3522555</v>
      </c>
      <c r="AK36" s="233">
        <v>2600001</v>
      </c>
      <c r="AL36" s="233">
        <v>1800002</v>
      </c>
      <c r="AM36" s="234">
        <v>1400001</v>
      </c>
      <c r="AN36" s="62"/>
      <c r="DL36" s="233"/>
      <c r="DM36" s="233">
        <v>0</v>
      </c>
      <c r="DN36" s="233">
        <v>0</v>
      </c>
      <c r="DO36" s="233">
        <v>0</v>
      </c>
      <c r="DP36" s="233">
        <v>0</v>
      </c>
      <c r="DQ36" s="233">
        <v>0</v>
      </c>
      <c r="DR36" s="233">
        <v>0</v>
      </c>
      <c r="DS36" s="233">
        <v>0</v>
      </c>
      <c r="DT36" s="233">
        <v>0</v>
      </c>
      <c r="DU36" s="233">
        <v>0</v>
      </c>
      <c r="DV36" s="233">
        <v>0</v>
      </c>
      <c r="DW36" s="233">
        <v>0</v>
      </c>
      <c r="DX36" s="233"/>
      <c r="DY36" s="233"/>
      <c r="DZ36" s="233"/>
      <c r="EA36" s="233"/>
      <c r="EB36" s="233">
        <v>0</v>
      </c>
      <c r="EC36" s="233"/>
      <c r="ED36" s="234">
        <v>888889</v>
      </c>
    </row>
    <row r="37" spans="7:134" ht="16.5" customHeight="1" hidden="1">
      <c r="G37" s="18" t="s">
        <v>80</v>
      </c>
      <c r="H37" s="18">
        <v>230</v>
      </c>
      <c r="U37" s="235"/>
      <c r="V37" s="233">
        <v>0</v>
      </c>
      <c r="W37" s="233">
        <v>0</v>
      </c>
      <c r="X37" s="233">
        <v>0</v>
      </c>
      <c r="Y37" s="233">
        <v>0</v>
      </c>
      <c r="Z37" s="233">
        <v>0</v>
      </c>
      <c r="AA37" s="233">
        <v>0</v>
      </c>
      <c r="AB37" s="233">
        <v>0</v>
      </c>
      <c r="AC37" s="233">
        <v>0</v>
      </c>
      <c r="AD37" s="233">
        <v>0</v>
      </c>
      <c r="AE37" s="233">
        <v>0</v>
      </c>
      <c r="AF37" s="233"/>
      <c r="AG37" s="233"/>
      <c r="AH37" s="233"/>
      <c r="AI37" s="233"/>
      <c r="AJ37" s="233"/>
      <c r="AK37" s="233"/>
      <c r="AL37" s="233">
        <v>3500000</v>
      </c>
      <c r="AM37" s="234">
        <v>2233334</v>
      </c>
      <c r="AN37" s="62"/>
      <c r="DL37" s="233"/>
      <c r="DM37" s="233">
        <v>0</v>
      </c>
      <c r="DN37" s="233">
        <v>0</v>
      </c>
      <c r="DO37" s="233">
        <v>0</v>
      </c>
      <c r="DP37" s="233">
        <v>0</v>
      </c>
      <c r="DQ37" s="233">
        <v>0</v>
      </c>
      <c r="DR37" s="233">
        <v>0</v>
      </c>
      <c r="DS37" s="233">
        <v>0</v>
      </c>
      <c r="DT37" s="233">
        <v>0</v>
      </c>
      <c r="DU37" s="233">
        <v>0</v>
      </c>
      <c r="DV37" s="233">
        <v>0</v>
      </c>
      <c r="DW37" s="233">
        <v>0</v>
      </c>
      <c r="DX37" s="233">
        <v>0</v>
      </c>
      <c r="DY37" s="233">
        <v>0</v>
      </c>
      <c r="DZ37" s="233"/>
      <c r="EA37" s="233"/>
      <c r="EB37" s="233">
        <v>0</v>
      </c>
      <c r="EC37" s="233"/>
      <c r="ED37" s="234">
        <v>1338890</v>
      </c>
    </row>
    <row r="38" spans="7:134" ht="16.5" customHeight="1" hidden="1">
      <c r="G38" s="18" t="s">
        <v>83</v>
      </c>
      <c r="U38" s="235"/>
      <c r="V38" s="233">
        <v>0</v>
      </c>
      <c r="W38" s="233">
        <v>0</v>
      </c>
      <c r="X38" s="233">
        <v>0</v>
      </c>
      <c r="Y38" s="233">
        <v>0</v>
      </c>
      <c r="Z38" s="233">
        <v>0</v>
      </c>
      <c r="AA38" s="233">
        <v>0</v>
      </c>
      <c r="AB38" s="233">
        <v>0</v>
      </c>
      <c r="AC38" s="233">
        <v>0</v>
      </c>
      <c r="AD38" s="233">
        <v>0</v>
      </c>
      <c r="AE38" s="233">
        <v>0</v>
      </c>
      <c r="AF38" s="233">
        <v>0</v>
      </c>
      <c r="AG38" s="233">
        <v>0</v>
      </c>
      <c r="AH38" s="233">
        <v>0</v>
      </c>
      <c r="AI38" s="233">
        <v>0</v>
      </c>
      <c r="AJ38" s="233">
        <v>0</v>
      </c>
      <c r="AK38" s="233">
        <v>0</v>
      </c>
      <c r="AL38" s="233">
        <v>0</v>
      </c>
      <c r="AM38" s="234"/>
      <c r="AN38" s="62"/>
      <c r="DL38" s="233"/>
      <c r="DM38" s="233">
        <v>0</v>
      </c>
      <c r="DN38" s="233">
        <v>0</v>
      </c>
      <c r="DO38" s="233">
        <v>0</v>
      </c>
      <c r="DP38" s="233">
        <v>0</v>
      </c>
      <c r="DQ38" s="233">
        <v>0</v>
      </c>
      <c r="DR38" s="233">
        <v>0</v>
      </c>
      <c r="DS38" s="233">
        <v>0</v>
      </c>
      <c r="DT38" s="233">
        <v>0</v>
      </c>
      <c r="DU38" s="233">
        <v>0</v>
      </c>
      <c r="DV38" s="233">
        <v>0</v>
      </c>
      <c r="DW38" s="233">
        <v>0</v>
      </c>
      <c r="DX38" s="233">
        <v>0</v>
      </c>
      <c r="DY38" s="233">
        <v>0</v>
      </c>
      <c r="DZ38" s="233"/>
      <c r="EA38" s="233"/>
      <c r="EB38" s="233">
        <v>0</v>
      </c>
      <c r="EC38" s="233"/>
      <c r="ED38" s="234">
        <v>1712166</v>
      </c>
    </row>
    <row r="39" spans="21:134" ht="16.5" customHeight="1" hidden="1">
      <c r="U39" s="236"/>
      <c r="V39" s="233"/>
      <c r="W39" s="233">
        <v>0</v>
      </c>
      <c r="X39" s="233">
        <v>0</v>
      </c>
      <c r="Y39" s="233">
        <v>0</v>
      </c>
      <c r="Z39" s="233">
        <v>0</v>
      </c>
      <c r="AA39" s="233">
        <v>0</v>
      </c>
      <c r="AB39" s="233">
        <v>0</v>
      </c>
      <c r="AC39" s="233">
        <v>0</v>
      </c>
      <c r="AD39" s="233">
        <v>0</v>
      </c>
      <c r="AE39" s="233">
        <v>0</v>
      </c>
      <c r="AF39" s="233">
        <v>0</v>
      </c>
      <c r="AG39" s="233">
        <v>0</v>
      </c>
      <c r="AH39" s="233">
        <v>0</v>
      </c>
      <c r="AI39" s="233">
        <v>0</v>
      </c>
      <c r="AJ39" s="233">
        <v>0</v>
      </c>
      <c r="AK39" s="233">
        <v>0</v>
      </c>
      <c r="AL39" s="233">
        <v>0</v>
      </c>
      <c r="AM39" s="234">
        <v>0</v>
      </c>
      <c r="AN39" s="233">
        <v>0</v>
      </c>
      <c r="DL39" s="233"/>
      <c r="DM39" s="233">
        <v>0</v>
      </c>
      <c r="DN39" s="233">
        <v>0</v>
      </c>
      <c r="DO39" s="233">
        <v>0</v>
      </c>
      <c r="DP39" s="233">
        <v>0</v>
      </c>
      <c r="DQ39" s="233">
        <v>0</v>
      </c>
      <c r="DR39" s="233">
        <v>0</v>
      </c>
      <c r="DS39" s="233">
        <v>0</v>
      </c>
      <c r="DT39" s="233">
        <v>0</v>
      </c>
      <c r="DU39" s="233">
        <v>0</v>
      </c>
      <c r="DV39" s="233">
        <v>0</v>
      </c>
      <c r="DW39" s="233">
        <v>0</v>
      </c>
      <c r="DX39" s="233">
        <v>0</v>
      </c>
      <c r="DY39" s="233">
        <v>0</v>
      </c>
      <c r="DZ39" s="233">
        <v>0</v>
      </c>
      <c r="EA39" s="233">
        <v>0</v>
      </c>
      <c r="EB39" s="233">
        <v>0</v>
      </c>
      <c r="EC39" s="233"/>
      <c r="ED39" s="234">
        <v>1800018</v>
      </c>
    </row>
    <row r="40" spans="21:134" ht="16.5" customHeight="1" hidden="1">
      <c r="U40" s="236"/>
      <c r="V40" s="233"/>
      <c r="W40" s="233">
        <v>0</v>
      </c>
      <c r="X40" s="233">
        <v>0</v>
      </c>
      <c r="Y40" s="233">
        <v>0</v>
      </c>
      <c r="Z40" s="233">
        <v>0</v>
      </c>
      <c r="AA40" s="233">
        <v>0</v>
      </c>
      <c r="AB40" s="233">
        <v>0</v>
      </c>
      <c r="AC40" s="233">
        <v>0</v>
      </c>
      <c r="AD40" s="233">
        <v>0</v>
      </c>
      <c r="AE40" s="233">
        <v>0</v>
      </c>
      <c r="AF40" s="233">
        <v>0</v>
      </c>
      <c r="AG40" s="233">
        <v>0</v>
      </c>
      <c r="AH40" s="233">
        <v>0</v>
      </c>
      <c r="AI40" s="233">
        <v>0</v>
      </c>
      <c r="AJ40" s="233">
        <v>0</v>
      </c>
      <c r="AK40" s="233">
        <v>0</v>
      </c>
      <c r="AL40" s="233">
        <v>0</v>
      </c>
      <c r="AM40" s="234">
        <v>0</v>
      </c>
      <c r="AN40" s="233">
        <v>0</v>
      </c>
      <c r="DL40" s="233"/>
      <c r="DM40" s="233">
        <v>0</v>
      </c>
      <c r="DN40" s="233">
        <v>0</v>
      </c>
      <c r="DO40" s="233">
        <v>0</v>
      </c>
      <c r="DP40" s="233">
        <v>0</v>
      </c>
      <c r="DQ40" s="233">
        <v>0</v>
      </c>
      <c r="DR40" s="233">
        <v>0</v>
      </c>
      <c r="DS40" s="233">
        <v>0</v>
      </c>
      <c r="DT40" s="233">
        <v>0</v>
      </c>
      <c r="DU40" s="233">
        <v>0</v>
      </c>
      <c r="DV40" s="233">
        <v>0</v>
      </c>
      <c r="DW40" s="233">
        <v>0</v>
      </c>
      <c r="DX40" s="233">
        <v>0</v>
      </c>
      <c r="DY40" s="233">
        <v>0</v>
      </c>
      <c r="DZ40" s="233">
        <v>0</v>
      </c>
      <c r="EA40" s="233">
        <v>0</v>
      </c>
      <c r="EB40" s="233">
        <v>0</v>
      </c>
      <c r="EC40" s="233">
        <v>0</v>
      </c>
      <c r="ED40" s="234">
        <v>0</v>
      </c>
    </row>
    <row r="41" spans="21:134" ht="16.5" customHeight="1" hidden="1">
      <c r="U41" s="242"/>
      <c r="V41" s="238"/>
      <c r="W41" s="238">
        <v>0</v>
      </c>
      <c r="X41" s="238">
        <v>0</v>
      </c>
      <c r="Y41" s="238">
        <v>0</v>
      </c>
      <c r="Z41" s="238">
        <v>0</v>
      </c>
      <c r="AA41" s="238">
        <v>0</v>
      </c>
      <c r="AB41" s="238">
        <v>0</v>
      </c>
      <c r="AC41" s="238">
        <v>0</v>
      </c>
      <c r="AD41" s="238">
        <v>0</v>
      </c>
      <c r="AE41" s="238">
        <v>0</v>
      </c>
      <c r="AF41" s="238">
        <v>0</v>
      </c>
      <c r="AG41" s="238">
        <v>0</v>
      </c>
      <c r="AH41" s="238">
        <v>0</v>
      </c>
      <c r="AI41" s="238">
        <v>0</v>
      </c>
      <c r="AJ41" s="238">
        <v>0</v>
      </c>
      <c r="AK41" s="238">
        <v>0</v>
      </c>
      <c r="AL41" s="238">
        <v>0</v>
      </c>
      <c r="AM41" s="239">
        <v>0</v>
      </c>
      <c r="AN41" s="233">
        <v>0</v>
      </c>
      <c r="DL41" s="233"/>
      <c r="DM41" s="233">
        <v>0</v>
      </c>
      <c r="DN41" s="233">
        <v>0</v>
      </c>
      <c r="DO41" s="233">
        <v>0</v>
      </c>
      <c r="DP41" s="233">
        <v>0</v>
      </c>
      <c r="DQ41" s="233">
        <v>0</v>
      </c>
      <c r="DR41" s="233">
        <v>0</v>
      </c>
      <c r="DS41" s="233">
        <v>0</v>
      </c>
      <c r="DT41" s="233">
        <v>0</v>
      </c>
      <c r="DU41" s="233">
        <v>0</v>
      </c>
      <c r="DV41" s="233">
        <v>0</v>
      </c>
      <c r="DW41" s="233">
        <v>0</v>
      </c>
      <c r="DX41" s="233">
        <v>0</v>
      </c>
      <c r="DY41" s="233">
        <v>0</v>
      </c>
      <c r="DZ41" s="233">
        <v>0</v>
      </c>
      <c r="EA41" s="233">
        <v>0</v>
      </c>
      <c r="EB41" s="233">
        <v>0</v>
      </c>
      <c r="EC41" s="233">
        <v>0</v>
      </c>
      <c r="ED41" s="234">
        <v>0</v>
      </c>
    </row>
    <row r="42" spans="116:134" ht="16.5" customHeight="1" hidden="1">
      <c r="DL42" s="238"/>
      <c r="DM42" s="238">
        <v>0</v>
      </c>
      <c r="DN42" s="238">
        <v>0</v>
      </c>
      <c r="DO42" s="238">
        <v>0</v>
      </c>
      <c r="DP42" s="238">
        <v>0</v>
      </c>
      <c r="DQ42" s="238">
        <v>0</v>
      </c>
      <c r="DR42" s="238">
        <v>0</v>
      </c>
      <c r="DS42" s="238">
        <v>0</v>
      </c>
      <c r="DT42" s="238">
        <v>0</v>
      </c>
      <c r="DU42" s="238">
        <v>0</v>
      </c>
      <c r="DV42" s="238">
        <v>0</v>
      </c>
      <c r="DW42" s="238">
        <v>0</v>
      </c>
      <c r="DX42" s="238">
        <v>0</v>
      </c>
      <c r="DY42" s="238">
        <v>0</v>
      </c>
      <c r="DZ42" s="238">
        <v>0</v>
      </c>
      <c r="EA42" s="238">
        <v>0</v>
      </c>
      <c r="EB42" s="238">
        <v>0</v>
      </c>
      <c r="EC42" s="238">
        <v>0</v>
      </c>
      <c r="ED42" s="239">
        <v>0</v>
      </c>
    </row>
    <row r="43" ht="16.5" customHeight="1" hidden="1"/>
    <row r="44" ht="16.5" customHeight="1" hidden="1"/>
    <row r="45" ht="16.5" customHeight="1" hidden="1"/>
    <row r="46" ht="16.5" customHeight="1" hidden="1"/>
    <row r="47" ht="16.5" customHeight="1" hidden="1"/>
    <row r="48" ht="16.5" customHeight="1" hidden="1"/>
  </sheetData>
  <sheetProtection password="C703" sheet="1" objects="1" scenarios="1"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</cp:lastModifiedBy>
  <dcterms:created xsi:type="dcterms:W3CDTF">2010-10-07T10:06:19Z</dcterms:created>
  <dcterms:modified xsi:type="dcterms:W3CDTF">2011-05-09T18:02:10Z</dcterms:modified>
  <cp:category/>
  <cp:version/>
  <cp:contentType/>
  <cp:contentStatus/>
</cp:coreProperties>
</file>